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702"/>
  <workbookPr defaultThemeVersion="166925"/>
  <xr:revisionPtr revIDLastSave="0" documentId="8_{DC4C6F1E-AA05-4939-BA6D-91E5054B14BD}" xr6:coauthVersionLast="46" xr6:coauthVersionMax="4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30" i="1" l="1"/>
  <c r="BN28" i="1"/>
  <c r="BN27" i="1"/>
  <c r="BN29" i="1"/>
  <c r="BN31" i="1"/>
  <c r="BN32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31" i="1"/>
  <c r="X27" i="1"/>
  <c r="W31" i="1"/>
  <c r="V31" i="1"/>
  <c r="W27" i="1"/>
  <c r="V27" i="1"/>
  <c r="T28" i="1"/>
  <c r="S9" i="1"/>
  <c r="P30" i="1"/>
  <c r="Q27" i="1"/>
  <c r="T27" i="1"/>
  <c r="T14" i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AM14" i="1" s="1"/>
  <c r="AN14" i="1" s="1"/>
  <c r="AO14" i="1" s="1"/>
  <c r="AP14" i="1" s="1"/>
  <c r="AQ14" i="1" s="1"/>
  <c r="AR14" i="1" s="1"/>
  <c r="AS14" i="1" s="1"/>
  <c r="AT14" i="1" s="1"/>
  <c r="AU14" i="1" s="1"/>
  <c r="AV14" i="1" s="1"/>
  <c r="AW14" i="1" s="1"/>
  <c r="AX14" i="1" s="1"/>
  <c r="AY14" i="1" s="1"/>
  <c r="AZ14" i="1" s="1"/>
  <c r="BA14" i="1" s="1"/>
  <c r="BB14" i="1" s="1"/>
  <c r="BC14" i="1" s="1"/>
  <c r="BD14" i="1" s="1"/>
  <c r="BE14" i="1" s="1"/>
  <c r="BF14" i="1" s="1"/>
  <c r="BG14" i="1" s="1"/>
  <c r="BH14" i="1" s="1"/>
  <c r="BI14" i="1" s="1"/>
  <c r="BJ14" i="1" s="1"/>
  <c r="BK14" i="1" s="1"/>
  <c r="P6" i="1"/>
  <c r="W5" i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  <c r="E54" i="1"/>
  <c r="E55" i="1" s="1"/>
  <c r="I8" i="1"/>
  <c r="I13" i="1"/>
  <c r="I16" i="1"/>
  <c r="I17" i="1"/>
  <c r="I20" i="1"/>
  <c r="I21" i="1"/>
  <c r="I22" i="1"/>
  <c r="I28" i="1"/>
  <c r="I29" i="1"/>
  <c r="I32" i="1"/>
  <c r="I34" i="1"/>
  <c r="S31" i="1"/>
  <c r="S27" i="1"/>
  <c r="R27" i="1"/>
  <c r="R31" i="1"/>
  <c r="Q31" i="1"/>
  <c r="R14" i="1"/>
  <c r="T12" i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AJ12" i="1" s="1"/>
  <c r="AK12" i="1" s="1"/>
  <c r="AL12" i="1" s="1"/>
  <c r="AM12" i="1" s="1"/>
  <c r="AN12" i="1" s="1"/>
  <c r="AO12" i="1" s="1"/>
  <c r="AP12" i="1" s="1"/>
  <c r="AQ12" i="1" s="1"/>
  <c r="AR12" i="1" s="1"/>
  <c r="AS12" i="1" s="1"/>
  <c r="AT12" i="1" s="1"/>
  <c r="AU12" i="1" s="1"/>
  <c r="AV12" i="1" s="1"/>
  <c r="AW12" i="1" s="1"/>
  <c r="AX12" i="1" s="1"/>
  <c r="AY12" i="1" s="1"/>
  <c r="AZ12" i="1" s="1"/>
  <c r="BA12" i="1" s="1"/>
  <c r="BB12" i="1" s="1"/>
  <c r="BC12" i="1" s="1"/>
  <c r="BD12" i="1" s="1"/>
  <c r="BE12" i="1" s="1"/>
  <c r="BF12" i="1" s="1"/>
  <c r="BG12" i="1" s="1"/>
  <c r="BH12" i="1" s="1"/>
  <c r="BI12" i="1" s="1"/>
  <c r="BJ12" i="1" s="1"/>
  <c r="BK12" i="1" s="1"/>
  <c r="T10" i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AZ10" i="1" s="1"/>
  <c r="BA10" i="1" s="1"/>
  <c r="BB10" i="1" s="1"/>
  <c r="BC10" i="1" s="1"/>
  <c r="BD10" i="1" s="1"/>
  <c r="BE10" i="1" s="1"/>
  <c r="BF10" i="1" s="1"/>
  <c r="BG10" i="1" s="1"/>
  <c r="BH10" i="1" s="1"/>
  <c r="BI10" i="1" s="1"/>
  <c r="BJ10" i="1" s="1"/>
  <c r="BK10" i="1" s="1"/>
  <c r="S10" i="1"/>
  <c r="R9" i="1"/>
  <c r="R12" i="1"/>
  <c r="R10" i="1"/>
  <c r="Q10" i="1"/>
  <c r="S7" i="1"/>
  <c r="R7" i="1"/>
  <c r="L11" i="1"/>
  <c r="P11" i="1"/>
  <c r="O11" i="1"/>
  <c r="N11" i="1"/>
  <c r="T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AQ11" i="1" s="1"/>
  <c r="AR11" i="1" s="1"/>
  <c r="AS11" i="1" s="1"/>
  <c r="AT11" i="1" s="1"/>
  <c r="AU11" i="1" s="1"/>
  <c r="AV11" i="1" s="1"/>
  <c r="AW11" i="1" s="1"/>
  <c r="AX11" i="1" s="1"/>
  <c r="AY11" i="1" s="1"/>
  <c r="AZ11" i="1" s="1"/>
  <c r="BA11" i="1" s="1"/>
  <c r="BB11" i="1" s="1"/>
  <c r="BC11" i="1" s="1"/>
  <c r="BD11" i="1" s="1"/>
  <c r="BE11" i="1" s="1"/>
  <c r="BF11" i="1" s="1"/>
  <c r="BG11" i="1" s="1"/>
  <c r="BH11" i="1" s="1"/>
  <c r="BI11" i="1" s="1"/>
  <c r="BJ11" i="1" s="1"/>
  <c r="BK11" i="1" s="1"/>
  <c r="M11" i="1"/>
  <c r="K11" i="1"/>
  <c r="J11" i="1"/>
  <c r="S11" i="1" s="1"/>
  <c r="H11" i="1"/>
  <c r="G11" i="1"/>
  <c r="F11" i="1"/>
  <c r="R11" i="1" s="1"/>
  <c r="E11" i="1"/>
  <c r="D11" i="1"/>
  <c r="C11" i="1"/>
  <c r="B8" i="1"/>
  <c r="B11" i="1"/>
  <c r="B30" i="1"/>
  <c r="B29" i="1"/>
  <c r="B32" i="1"/>
  <c r="B34" i="1"/>
  <c r="F52" i="1"/>
  <c r="D54" i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C23" i="1"/>
  <c r="P31" i="1"/>
  <c r="O30" i="1"/>
  <c r="N31" i="1"/>
  <c r="T31" i="1" s="1"/>
  <c r="N30" i="1"/>
  <c r="T30" i="1" s="1"/>
  <c r="M30" i="1"/>
  <c r="L30" i="1"/>
  <c r="K30" i="1"/>
  <c r="J30" i="1"/>
  <c r="S30" i="1" s="1"/>
  <c r="H30" i="1"/>
  <c r="G30" i="1"/>
  <c r="F30" i="1"/>
  <c r="E30" i="1"/>
  <c r="D30" i="1"/>
  <c r="O32" i="1"/>
  <c r="N32" i="1"/>
  <c r="M32" i="1"/>
  <c r="L32" i="1"/>
  <c r="K32" i="1"/>
  <c r="J32" i="1"/>
  <c r="S32" i="1" s="1"/>
  <c r="H32" i="1"/>
  <c r="G32" i="1"/>
  <c r="E32" i="1"/>
  <c r="D32" i="1"/>
  <c r="C30" i="1"/>
  <c r="C32" i="1" s="1"/>
  <c r="O28" i="1"/>
  <c r="O29" i="1" s="1"/>
  <c r="O34" i="1" s="1"/>
  <c r="N28" i="1"/>
  <c r="M28" i="1"/>
  <c r="M29" i="1" s="1"/>
  <c r="M34" i="1" s="1"/>
  <c r="L28" i="1"/>
  <c r="L29" i="1" s="1"/>
  <c r="L34" i="1" s="1"/>
  <c r="K28" i="1"/>
  <c r="K29" i="1" s="1"/>
  <c r="K34" i="1" s="1"/>
  <c r="J28" i="1"/>
  <c r="H28" i="1"/>
  <c r="H29" i="1" s="1"/>
  <c r="H34" i="1" s="1"/>
  <c r="G28" i="1"/>
  <c r="G29" i="1" s="1"/>
  <c r="G34" i="1" s="1"/>
  <c r="F28" i="1"/>
  <c r="E28" i="1"/>
  <c r="E29" i="1" s="1"/>
  <c r="E34" i="1" s="1"/>
  <c r="D28" i="1"/>
  <c r="D29" i="1" s="1"/>
  <c r="D34" i="1" s="1"/>
  <c r="C28" i="1"/>
  <c r="P32" i="1"/>
  <c r="P29" i="1"/>
  <c r="P34" i="1" s="1"/>
  <c r="P15" i="1"/>
  <c r="O15" i="1"/>
  <c r="N15" i="1"/>
  <c r="T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AM15" i="1" s="1"/>
  <c r="AN15" i="1" s="1"/>
  <c r="AO15" i="1" s="1"/>
  <c r="AP15" i="1" s="1"/>
  <c r="AQ15" i="1" s="1"/>
  <c r="AR15" i="1" s="1"/>
  <c r="AS15" i="1" s="1"/>
  <c r="AT15" i="1" s="1"/>
  <c r="AU15" i="1" s="1"/>
  <c r="AV15" i="1" s="1"/>
  <c r="AW15" i="1" s="1"/>
  <c r="AX15" i="1" s="1"/>
  <c r="AY15" i="1" s="1"/>
  <c r="AZ15" i="1" s="1"/>
  <c r="BA15" i="1" s="1"/>
  <c r="BB15" i="1" s="1"/>
  <c r="BC15" i="1" s="1"/>
  <c r="BD15" i="1" s="1"/>
  <c r="BE15" i="1" s="1"/>
  <c r="BF15" i="1" s="1"/>
  <c r="BG15" i="1" s="1"/>
  <c r="BH15" i="1" s="1"/>
  <c r="BI15" i="1" s="1"/>
  <c r="BJ15" i="1" s="1"/>
  <c r="BK15" i="1" s="1"/>
  <c r="O9" i="1"/>
  <c r="T9" i="1" s="1"/>
  <c r="O7" i="1"/>
  <c r="T7" i="1" s="1"/>
  <c r="O6" i="1"/>
  <c r="N6" i="1"/>
  <c r="T6" i="1" s="1"/>
  <c r="M15" i="1"/>
  <c r="M14" i="1"/>
  <c r="S14" i="1" s="1"/>
  <c r="M12" i="1"/>
  <c r="M6" i="1"/>
  <c r="L15" i="1"/>
  <c r="L6" i="1"/>
  <c r="K15" i="1"/>
  <c r="K6" i="1"/>
  <c r="J15" i="1"/>
  <c r="S15" i="1" s="1"/>
  <c r="J12" i="1"/>
  <c r="S12" i="1" s="1"/>
  <c r="J6" i="1"/>
  <c r="H15" i="1"/>
  <c r="H6" i="1"/>
  <c r="I23" i="1" s="1"/>
  <c r="G15" i="1"/>
  <c r="G6" i="1"/>
  <c r="F15" i="1"/>
  <c r="R15" i="1" s="1"/>
  <c r="E15" i="1"/>
  <c r="E6" i="1"/>
  <c r="D15" i="1"/>
  <c r="D9" i="1"/>
  <c r="Q9" i="1" s="1"/>
  <c r="C15" i="1"/>
  <c r="C14" i="1"/>
  <c r="Q14" i="1" s="1"/>
  <c r="D7" i="1"/>
  <c r="Q7" i="1" s="1"/>
  <c r="D6" i="1"/>
  <c r="Q6" i="1" s="1"/>
  <c r="B15" i="1"/>
  <c r="Q15" i="1" s="1"/>
  <c r="C12" i="1"/>
  <c r="Q12" i="1" s="1"/>
  <c r="P8" i="1"/>
  <c r="O8" i="1"/>
  <c r="O13" i="1" s="1"/>
  <c r="O16" i="1" s="1"/>
  <c r="N8" i="1"/>
  <c r="N13" i="1" s="1"/>
  <c r="M8" i="1"/>
  <c r="L8" i="1"/>
  <c r="L13" i="1" s="1"/>
  <c r="K8" i="1"/>
  <c r="K20" i="1" s="1"/>
  <c r="J8" i="1"/>
  <c r="J20" i="1" s="1"/>
  <c r="H8" i="1"/>
  <c r="G8" i="1"/>
  <c r="G13" i="1" s="1"/>
  <c r="F8" i="1"/>
  <c r="F20" i="1" s="1"/>
  <c r="E8" i="1"/>
  <c r="E13" i="1" s="1"/>
  <c r="D8" i="1"/>
  <c r="C8" i="1"/>
  <c r="BK29" i="1" l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H13" i="1"/>
  <c r="H20" i="1"/>
  <c r="T8" i="1"/>
  <c r="V9" i="1"/>
  <c r="P13" i="1"/>
  <c r="J29" i="1"/>
  <c r="S28" i="1"/>
  <c r="N29" i="1"/>
  <c r="T32" i="1"/>
  <c r="R6" i="1"/>
  <c r="C29" i="1"/>
  <c r="C34" i="1" s="1"/>
  <c r="Q28" i="1"/>
  <c r="F29" i="1"/>
  <c r="R28" i="1"/>
  <c r="F32" i="1"/>
  <c r="R32" i="1" s="1"/>
  <c r="R30" i="1"/>
  <c r="Q34" i="1"/>
  <c r="Q32" i="1"/>
  <c r="Q29" i="1"/>
  <c r="Q30" i="1"/>
  <c r="D13" i="1"/>
  <c r="D20" i="1"/>
  <c r="D23" i="1"/>
  <c r="S6" i="1"/>
  <c r="B13" i="1"/>
  <c r="Q11" i="1"/>
  <c r="K13" i="1"/>
  <c r="B35" i="1"/>
  <c r="C20" i="1"/>
  <c r="C13" i="1"/>
  <c r="C21" i="1" s="1"/>
  <c r="F13" i="1"/>
  <c r="J13" i="1"/>
  <c r="J16" i="1" s="1"/>
  <c r="M13" i="1"/>
  <c r="M16" i="1" s="1"/>
  <c r="F23" i="1"/>
  <c r="E23" i="1"/>
  <c r="H23" i="1"/>
  <c r="K23" i="1"/>
  <c r="L23" i="1"/>
  <c r="M23" i="1"/>
  <c r="N23" i="1"/>
  <c r="O23" i="1"/>
  <c r="P23" i="1"/>
  <c r="B20" i="1"/>
  <c r="E56" i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52" i="1"/>
  <c r="C16" i="1"/>
  <c r="D21" i="1"/>
  <c r="E20" i="1"/>
  <c r="G20" i="1"/>
  <c r="L20" i="1"/>
  <c r="M20" i="1"/>
  <c r="N20" i="1"/>
  <c r="O20" i="1"/>
  <c r="P20" i="1"/>
  <c r="W9" i="1" l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BE9" i="1" s="1"/>
  <c r="BF9" i="1" s="1"/>
  <c r="BG9" i="1" s="1"/>
  <c r="BH9" i="1" s="1"/>
  <c r="BI9" i="1" s="1"/>
  <c r="BJ9" i="1" s="1"/>
  <c r="BK9" i="1" s="1"/>
  <c r="C17" i="1"/>
  <c r="C22" i="1"/>
  <c r="T24" i="1"/>
  <c r="S24" i="1"/>
  <c r="R24" i="1"/>
  <c r="T1" i="1" s="1"/>
  <c r="V2" i="1" s="1"/>
  <c r="W2" i="1" s="1"/>
  <c r="T20" i="1"/>
  <c r="T13" i="1"/>
  <c r="T21" i="1" s="1"/>
  <c r="V7" i="1"/>
  <c r="V6" i="1"/>
  <c r="V24" i="1" s="1"/>
  <c r="W6" i="1"/>
  <c r="W7" i="1"/>
  <c r="N34" i="1"/>
  <c r="T34" i="1" s="1"/>
  <c r="T29" i="1"/>
  <c r="J34" i="1"/>
  <c r="S34" i="1" s="1"/>
  <c r="S29" i="1"/>
  <c r="S8" i="1"/>
  <c r="S20" i="1" s="1"/>
  <c r="Q8" i="1"/>
  <c r="F34" i="1"/>
  <c r="R34" i="1" s="1"/>
  <c r="R29" i="1"/>
  <c r="R8" i="1"/>
  <c r="R20" i="1" s="1"/>
  <c r="B21" i="1"/>
  <c r="B16" i="1"/>
  <c r="P21" i="1"/>
  <c r="P16" i="1"/>
  <c r="O21" i="1"/>
  <c r="N21" i="1"/>
  <c r="N16" i="1"/>
  <c r="T16" i="1" s="1"/>
  <c r="M21" i="1"/>
  <c r="L21" i="1"/>
  <c r="L16" i="1"/>
  <c r="K21" i="1"/>
  <c r="K16" i="1"/>
  <c r="S16" i="1" s="1"/>
  <c r="S22" i="1" s="1"/>
  <c r="J21" i="1"/>
  <c r="H21" i="1"/>
  <c r="H16" i="1"/>
  <c r="G21" i="1"/>
  <c r="G16" i="1"/>
  <c r="F21" i="1"/>
  <c r="F16" i="1"/>
  <c r="R16" i="1" s="1"/>
  <c r="R22" i="1" s="1"/>
  <c r="E21" i="1"/>
  <c r="E16" i="1"/>
  <c r="D16" i="1"/>
  <c r="D22" i="1" s="1"/>
  <c r="T22" i="1" l="1"/>
  <c r="Q16" i="1"/>
  <c r="Q13" i="1"/>
  <c r="Q20" i="1"/>
  <c r="W24" i="1"/>
  <c r="X2" i="1"/>
  <c r="T25" i="1"/>
  <c r="S13" i="1"/>
  <c r="S21" i="1" s="1"/>
  <c r="S25" i="1"/>
  <c r="R13" i="1"/>
  <c r="R21" i="1" s="1"/>
  <c r="R25" i="1"/>
  <c r="R1" i="1" s="1"/>
  <c r="V3" i="1" s="1"/>
  <c r="B22" i="1"/>
  <c r="B17" i="1"/>
  <c r="D17" i="1"/>
  <c r="E22" i="1"/>
  <c r="E17" i="1"/>
  <c r="F22" i="1"/>
  <c r="F17" i="1"/>
  <c r="G22" i="1"/>
  <c r="G17" i="1"/>
  <c r="H22" i="1"/>
  <c r="H17" i="1"/>
  <c r="J22" i="1"/>
  <c r="J17" i="1"/>
  <c r="K22" i="1"/>
  <c r="K17" i="1"/>
  <c r="L22" i="1"/>
  <c r="L17" i="1"/>
  <c r="M22" i="1"/>
  <c r="M17" i="1"/>
  <c r="N22" i="1"/>
  <c r="N17" i="1"/>
  <c r="O22" i="1"/>
  <c r="O17" i="1"/>
  <c r="P22" i="1"/>
  <c r="P17" i="1"/>
  <c r="Q22" i="1" l="1"/>
  <c r="W3" i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V8" i="1"/>
  <c r="Q21" i="1"/>
  <c r="Y2" i="1"/>
  <c r="X7" i="1"/>
  <c r="Y7" i="1" s="1"/>
  <c r="X6" i="1"/>
  <c r="T17" i="1"/>
  <c r="V17" i="1" s="1"/>
  <c r="W17" i="1" s="1"/>
  <c r="X17" i="1" s="1"/>
  <c r="S17" i="1"/>
  <c r="R17" i="1"/>
  <c r="Q17" i="1"/>
  <c r="W8" i="1" l="1"/>
  <c r="V20" i="1"/>
  <c r="V13" i="1"/>
  <c r="Y6" i="1"/>
  <c r="Y24" i="1"/>
  <c r="X24" i="1"/>
  <c r="Z2" i="1"/>
  <c r="Y17" i="1"/>
  <c r="Z17" i="1" s="1"/>
  <c r="V21" i="1" l="1"/>
  <c r="V16" i="1"/>
  <c r="X8" i="1"/>
  <c r="W20" i="1"/>
  <c r="W13" i="1"/>
  <c r="AA2" i="1"/>
  <c r="Z6" i="1"/>
  <c r="Z7" i="1"/>
  <c r="AA7" i="1" s="1"/>
  <c r="V28" i="1" l="1"/>
  <c r="V30" i="1" s="1"/>
  <c r="V22" i="1"/>
  <c r="W21" i="1"/>
  <c r="W16" i="1"/>
  <c r="Y8" i="1"/>
  <c r="X20" i="1"/>
  <c r="X13" i="1"/>
  <c r="AA6" i="1"/>
  <c r="AA24" i="1"/>
  <c r="Z24" i="1"/>
  <c r="AB2" i="1"/>
  <c r="AC2" i="1" s="1"/>
  <c r="AA17" i="1"/>
  <c r="AB17" i="1" s="1"/>
  <c r="W28" i="1" l="1"/>
  <c r="W30" i="1" s="1"/>
  <c r="W32" i="1" s="1"/>
  <c r="W22" i="1"/>
  <c r="V32" i="1"/>
  <c r="X21" i="1"/>
  <c r="X16" i="1"/>
  <c r="Z8" i="1"/>
  <c r="Y20" i="1"/>
  <c r="Y13" i="1"/>
  <c r="AB7" i="1"/>
  <c r="AC7" i="1" s="1"/>
  <c r="AB6" i="1"/>
  <c r="X28" i="1" l="1"/>
  <c r="X30" i="1" s="1"/>
  <c r="X32" i="1" s="1"/>
  <c r="X22" i="1"/>
  <c r="Y21" i="1"/>
  <c r="Y16" i="1"/>
  <c r="AA8" i="1"/>
  <c r="Z20" i="1"/>
  <c r="Z13" i="1"/>
  <c r="AC6" i="1"/>
  <c r="AC24" i="1"/>
  <c r="AB24" i="1"/>
  <c r="AD2" i="1"/>
  <c r="AC17" i="1"/>
  <c r="AD17" i="1" s="1"/>
  <c r="Y28" i="1" l="1"/>
  <c r="Y30" i="1" s="1"/>
  <c r="Y32" i="1" s="1"/>
  <c r="Y22" i="1"/>
  <c r="Z21" i="1"/>
  <c r="Z16" i="1"/>
  <c r="AB8" i="1"/>
  <c r="AA20" i="1"/>
  <c r="AA13" i="1"/>
  <c r="AE2" i="1"/>
  <c r="AD6" i="1"/>
  <c r="AD7" i="1"/>
  <c r="AE7" i="1" s="1"/>
  <c r="Z28" i="1" l="1"/>
  <c r="Z30" i="1" s="1"/>
  <c r="Z32" i="1" s="1"/>
  <c r="Z22" i="1"/>
  <c r="AA21" i="1"/>
  <c r="AA16" i="1"/>
  <c r="AC8" i="1"/>
  <c r="AB20" i="1"/>
  <c r="AB13" i="1"/>
  <c r="AE6" i="1"/>
  <c r="AE24" i="1"/>
  <c r="AD24" i="1"/>
  <c r="AF2" i="1"/>
  <c r="AE17" i="1"/>
  <c r="AF17" i="1" s="1"/>
  <c r="AA28" i="1" l="1"/>
  <c r="AA30" i="1" s="1"/>
  <c r="AA32" i="1" s="1"/>
  <c r="AA22" i="1"/>
  <c r="AB21" i="1"/>
  <c r="AB16" i="1"/>
  <c r="AD8" i="1"/>
  <c r="AC20" i="1"/>
  <c r="AC13" i="1"/>
  <c r="AG2" i="1"/>
  <c r="AF7" i="1"/>
  <c r="AG7" i="1" s="1"/>
  <c r="AF6" i="1"/>
  <c r="AB28" i="1" l="1"/>
  <c r="AB30" i="1" s="1"/>
  <c r="AB32" i="1" s="1"/>
  <c r="AB22" i="1"/>
  <c r="AC21" i="1"/>
  <c r="AC16" i="1"/>
  <c r="AE8" i="1"/>
  <c r="AD20" i="1"/>
  <c r="AD13" i="1"/>
  <c r="AG6" i="1"/>
  <c r="AG24" i="1"/>
  <c r="AF24" i="1"/>
  <c r="AH2" i="1"/>
  <c r="AG17" i="1"/>
  <c r="AH17" i="1" s="1"/>
  <c r="AC28" i="1" l="1"/>
  <c r="AC30" i="1" s="1"/>
  <c r="AC32" i="1" s="1"/>
  <c r="AC22" i="1"/>
  <c r="AD21" i="1"/>
  <c r="AD16" i="1"/>
  <c r="AF8" i="1"/>
  <c r="AE20" i="1"/>
  <c r="AE13" i="1"/>
  <c r="AI2" i="1"/>
  <c r="AH6" i="1"/>
  <c r="AH7" i="1"/>
  <c r="AI7" i="1" s="1"/>
  <c r="AD28" i="1" l="1"/>
  <c r="AD30" i="1" s="1"/>
  <c r="AD32" i="1" s="1"/>
  <c r="AD22" i="1"/>
  <c r="AE21" i="1"/>
  <c r="AE16" i="1"/>
  <c r="AG8" i="1"/>
  <c r="AF20" i="1"/>
  <c r="AF13" i="1"/>
  <c r="AI6" i="1"/>
  <c r="AI24" i="1"/>
  <c r="AH24" i="1"/>
  <c r="AJ2" i="1"/>
  <c r="AI17" i="1"/>
  <c r="AJ17" i="1" s="1"/>
  <c r="AE28" i="1" l="1"/>
  <c r="AE30" i="1" s="1"/>
  <c r="AE32" i="1" s="1"/>
  <c r="AE22" i="1"/>
  <c r="AF21" i="1"/>
  <c r="AF16" i="1"/>
  <c r="AH8" i="1"/>
  <c r="AG20" i="1"/>
  <c r="AG13" i="1"/>
  <c r="AK2" i="1"/>
  <c r="AJ7" i="1"/>
  <c r="AK7" i="1" s="1"/>
  <c r="AJ6" i="1"/>
  <c r="AK6" i="1" s="1"/>
  <c r="AF28" i="1" l="1"/>
  <c r="AF30" i="1" s="1"/>
  <c r="AF32" i="1" s="1"/>
  <c r="AF22" i="1"/>
  <c r="AG21" i="1"/>
  <c r="AG16" i="1"/>
  <c r="AI8" i="1"/>
  <c r="AH20" i="1"/>
  <c r="AH13" i="1"/>
  <c r="AK24" i="1"/>
  <c r="AJ24" i="1"/>
  <c r="AL2" i="1"/>
  <c r="AK17" i="1"/>
  <c r="AL17" i="1" s="1"/>
  <c r="AG28" i="1" l="1"/>
  <c r="AG30" i="1" s="1"/>
  <c r="AG32" i="1" s="1"/>
  <c r="AG22" i="1"/>
  <c r="AH21" i="1"/>
  <c r="AH16" i="1"/>
  <c r="AJ8" i="1"/>
  <c r="AI20" i="1"/>
  <c r="AI13" i="1"/>
  <c r="AM2" i="1"/>
  <c r="AL6" i="1"/>
  <c r="AL7" i="1"/>
  <c r="AM7" i="1" s="1"/>
  <c r="AH28" i="1" l="1"/>
  <c r="AH30" i="1" s="1"/>
  <c r="AH32" i="1" s="1"/>
  <c r="AH22" i="1"/>
  <c r="AI21" i="1"/>
  <c r="AI16" i="1"/>
  <c r="AK8" i="1"/>
  <c r="AJ20" i="1"/>
  <c r="AJ13" i="1"/>
  <c r="AM6" i="1"/>
  <c r="AM24" i="1"/>
  <c r="AL24" i="1"/>
  <c r="AN2" i="1"/>
  <c r="AM17" i="1"/>
  <c r="AN17" i="1" s="1"/>
  <c r="AI28" i="1" l="1"/>
  <c r="AI30" i="1" s="1"/>
  <c r="AI32" i="1" s="1"/>
  <c r="AI22" i="1"/>
  <c r="AJ21" i="1"/>
  <c r="AJ16" i="1"/>
  <c r="AL8" i="1"/>
  <c r="AK20" i="1"/>
  <c r="AK13" i="1"/>
  <c r="AO2" i="1"/>
  <c r="AN7" i="1"/>
  <c r="AO7" i="1" s="1"/>
  <c r="AN6" i="1"/>
  <c r="AJ28" i="1" l="1"/>
  <c r="AJ30" i="1" s="1"/>
  <c r="AJ32" i="1" s="1"/>
  <c r="AJ22" i="1"/>
  <c r="AK21" i="1"/>
  <c r="AK16" i="1"/>
  <c r="AM8" i="1"/>
  <c r="AL20" i="1"/>
  <c r="AL13" i="1"/>
  <c r="AO6" i="1"/>
  <c r="AO24" i="1"/>
  <c r="AN24" i="1"/>
  <c r="AP2" i="1"/>
  <c r="AO17" i="1"/>
  <c r="AP17" i="1" s="1"/>
  <c r="AK28" i="1" l="1"/>
  <c r="AK30" i="1" s="1"/>
  <c r="AK32" i="1" s="1"/>
  <c r="AK22" i="1"/>
  <c r="AL21" i="1"/>
  <c r="AL16" i="1"/>
  <c r="AN8" i="1"/>
  <c r="AM20" i="1"/>
  <c r="AM13" i="1"/>
  <c r="AQ2" i="1"/>
  <c r="AP6" i="1"/>
  <c r="AP7" i="1"/>
  <c r="AQ7" i="1" s="1"/>
  <c r="AL28" i="1" l="1"/>
  <c r="AL30" i="1" s="1"/>
  <c r="AL32" i="1" s="1"/>
  <c r="AL22" i="1"/>
  <c r="AM21" i="1"/>
  <c r="AM16" i="1"/>
  <c r="AO8" i="1"/>
  <c r="AN20" i="1"/>
  <c r="AN13" i="1"/>
  <c r="AQ6" i="1"/>
  <c r="AQ24" i="1"/>
  <c r="AP24" i="1"/>
  <c r="AR2" i="1"/>
  <c r="AQ17" i="1"/>
  <c r="AR17" i="1" s="1"/>
  <c r="AM28" i="1" l="1"/>
  <c r="AM30" i="1" s="1"/>
  <c r="AM32" i="1" s="1"/>
  <c r="AM22" i="1"/>
  <c r="AN21" i="1"/>
  <c r="AN16" i="1"/>
  <c r="AP8" i="1"/>
  <c r="AO20" i="1"/>
  <c r="AO13" i="1"/>
  <c r="AS2" i="1"/>
  <c r="AR7" i="1"/>
  <c r="AS7" i="1" s="1"/>
  <c r="AR6" i="1"/>
  <c r="AN28" i="1" l="1"/>
  <c r="AN30" i="1" s="1"/>
  <c r="AN32" i="1" s="1"/>
  <c r="AN22" i="1"/>
  <c r="AO21" i="1"/>
  <c r="AO16" i="1"/>
  <c r="AQ8" i="1"/>
  <c r="AP20" i="1"/>
  <c r="AP13" i="1"/>
  <c r="AS6" i="1"/>
  <c r="AS24" i="1"/>
  <c r="AR24" i="1"/>
  <c r="AT2" i="1"/>
  <c r="AS17" i="1"/>
  <c r="AT17" i="1" s="1"/>
  <c r="AO28" i="1" l="1"/>
  <c r="AO30" i="1" s="1"/>
  <c r="AO32" i="1" s="1"/>
  <c r="AO22" i="1"/>
  <c r="AP21" i="1"/>
  <c r="AP16" i="1"/>
  <c r="AR8" i="1"/>
  <c r="AQ20" i="1"/>
  <c r="AQ13" i="1"/>
  <c r="AU2" i="1"/>
  <c r="AT6" i="1"/>
  <c r="AT7" i="1"/>
  <c r="AU7" i="1" s="1"/>
  <c r="AP28" i="1" l="1"/>
  <c r="AP30" i="1" s="1"/>
  <c r="AP32" i="1" s="1"/>
  <c r="AP22" i="1"/>
  <c r="AQ21" i="1"/>
  <c r="AQ16" i="1"/>
  <c r="AS8" i="1"/>
  <c r="AR20" i="1"/>
  <c r="AR13" i="1"/>
  <c r="AU6" i="1"/>
  <c r="AU24" i="1"/>
  <c r="AT24" i="1"/>
  <c r="AV2" i="1"/>
  <c r="AU17" i="1"/>
  <c r="AV17" i="1" s="1"/>
  <c r="AQ28" i="1" l="1"/>
  <c r="AQ30" i="1" s="1"/>
  <c r="AQ32" i="1" s="1"/>
  <c r="AQ22" i="1"/>
  <c r="AR21" i="1"/>
  <c r="AR16" i="1"/>
  <c r="AT8" i="1"/>
  <c r="AS20" i="1"/>
  <c r="AS13" i="1"/>
  <c r="AW2" i="1"/>
  <c r="AV7" i="1"/>
  <c r="AW7" i="1" s="1"/>
  <c r="AV6" i="1"/>
  <c r="AR28" i="1" l="1"/>
  <c r="AR30" i="1" s="1"/>
  <c r="AR32" i="1" s="1"/>
  <c r="AR22" i="1"/>
  <c r="AS21" i="1"/>
  <c r="AS16" i="1"/>
  <c r="AU8" i="1"/>
  <c r="AT20" i="1"/>
  <c r="AT13" i="1"/>
  <c r="AW6" i="1"/>
  <c r="AW24" i="1"/>
  <c r="AV24" i="1"/>
  <c r="AX2" i="1"/>
  <c r="AW17" i="1"/>
  <c r="AX17" i="1" s="1"/>
  <c r="AS28" i="1" l="1"/>
  <c r="AS30" i="1" s="1"/>
  <c r="AS32" i="1" s="1"/>
  <c r="AS22" i="1"/>
  <c r="AT21" i="1"/>
  <c r="AT16" i="1"/>
  <c r="AV8" i="1"/>
  <c r="AU20" i="1"/>
  <c r="AU13" i="1"/>
  <c r="AY2" i="1"/>
  <c r="AX6" i="1"/>
  <c r="AX7" i="1"/>
  <c r="AY7" i="1" s="1"/>
  <c r="AT28" i="1" l="1"/>
  <c r="AT30" i="1" s="1"/>
  <c r="AT32" i="1" s="1"/>
  <c r="AT22" i="1"/>
  <c r="AU21" i="1"/>
  <c r="AU16" i="1"/>
  <c r="AW8" i="1"/>
  <c r="AV13" i="1"/>
  <c r="AV20" i="1"/>
  <c r="AY6" i="1"/>
  <c r="AY24" i="1"/>
  <c r="AX24" i="1"/>
  <c r="AZ2" i="1"/>
  <c r="AY17" i="1"/>
  <c r="AZ17" i="1" s="1"/>
  <c r="AU28" i="1" l="1"/>
  <c r="AU30" i="1" s="1"/>
  <c r="AU32" i="1" s="1"/>
  <c r="AU22" i="1"/>
  <c r="AV16" i="1"/>
  <c r="AV21" i="1"/>
  <c r="AX8" i="1"/>
  <c r="AW20" i="1"/>
  <c r="AW13" i="1"/>
  <c r="BA2" i="1"/>
  <c r="AZ7" i="1"/>
  <c r="BA7" i="1" s="1"/>
  <c r="AZ6" i="1"/>
  <c r="AV28" i="1" l="1"/>
  <c r="AV30" i="1" s="1"/>
  <c r="AV32" i="1" s="1"/>
  <c r="AV22" i="1"/>
  <c r="AW21" i="1"/>
  <c r="AW16" i="1"/>
  <c r="AY8" i="1"/>
  <c r="AX20" i="1"/>
  <c r="AX13" i="1"/>
  <c r="BA6" i="1"/>
  <c r="BA24" i="1"/>
  <c r="AZ24" i="1"/>
  <c r="BB2" i="1"/>
  <c r="BA17" i="1"/>
  <c r="BB17" i="1" s="1"/>
  <c r="AW28" i="1" l="1"/>
  <c r="AW30" i="1" s="1"/>
  <c r="AW32" i="1" s="1"/>
  <c r="AW22" i="1"/>
  <c r="AX21" i="1"/>
  <c r="AX16" i="1"/>
  <c r="AZ8" i="1"/>
  <c r="AY20" i="1"/>
  <c r="AY13" i="1"/>
  <c r="BC2" i="1"/>
  <c r="BB6" i="1"/>
  <c r="BB7" i="1"/>
  <c r="BC7" i="1" s="1"/>
  <c r="AX28" i="1" l="1"/>
  <c r="AX30" i="1" s="1"/>
  <c r="AX32" i="1" s="1"/>
  <c r="AX22" i="1"/>
  <c r="AY21" i="1"/>
  <c r="AY16" i="1"/>
  <c r="BA8" i="1"/>
  <c r="AZ20" i="1"/>
  <c r="AZ13" i="1"/>
  <c r="BC6" i="1"/>
  <c r="BC24" i="1"/>
  <c r="BB24" i="1"/>
  <c r="BD2" i="1"/>
  <c r="BC17" i="1"/>
  <c r="BD17" i="1" s="1"/>
  <c r="AY28" i="1" l="1"/>
  <c r="AY30" i="1" s="1"/>
  <c r="AY32" i="1" s="1"/>
  <c r="AY22" i="1"/>
  <c r="AZ21" i="1"/>
  <c r="AZ16" i="1"/>
  <c r="BB8" i="1"/>
  <c r="BA20" i="1"/>
  <c r="BA13" i="1"/>
  <c r="BE2" i="1"/>
  <c r="BD7" i="1"/>
  <c r="BE7" i="1" s="1"/>
  <c r="BD6" i="1"/>
  <c r="AZ28" i="1" l="1"/>
  <c r="AZ30" i="1" s="1"/>
  <c r="AZ32" i="1" s="1"/>
  <c r="AZ22" i="1"/>
  <c r="BA21" i="1"/>
  <c r="BA16" i="1"/>
  <c r="BC8" i="1"/>
  <c r="BB20" i="1"/>
  <c r="BB13" i="1"/>
  <c r="BE6" i="1"/>
  <c r="BE24" i="1"/>
  <c r="BD24" i="1"/>
  <c r="BF2" i="1"/>
  <c r="BE17" i="1"/>
  <c r="BF17" i="1" s="1"/>
  <c r="BA28" i="1" l="1"/>
  <c r="BA30" i="1" s="1"/>
  <c r="BA32" i="1" s="1"/>
  <c r="BA22" i="1"/>
  <c r="BB21" i="1"/>
  <c r="BB16" i="1"/>
  <c r="BD8" i="1"/>
  <c r="BC20" i="1"/>
  <c r="BC13" i="1"/>
  <c r="BG2" i="1"/>
  <c r="BF6" i="1"/>
  <c r="BF7" i="1"/>
  <c r="BG7" i="1" s="1"/>
  <c r="BB28" i="1" l="1"/>
  <c r="BB30" i="1" s="1"/>
  <c r="BB32" i="1" s="1"/>
  <c r="BB22" i="1"/>
  <c r="BC21" i="1"/>
  <c r="BC16" i="1"/>
  <c r="BE8" i="1"/>
  <c r="BD20" i="1"/>
  <c r="BD13" i="1"/>
  <c r="BG6" i="1"/>
  <c r="BG24" i="1"/>
  <c r="BF24" i="1"/>
  <c r="BH2" i="1"/>
  <c r="BG17" i="1"/>
  <c r="BH17" i="1" s="1"/>
  <c r="BC28" i="1" l="1"/>
  <c r="BC30" i="1" s="1"/>
  <c r="BC32" i="1" s="1"/>
  <c r="BC22" i="1"/>
  <c r="BD21" i="1"/>
  <c r="BD16" i="1"/>
  <c r="BF8" i="1"/>
  <c r="BE20" i="1"/>
  <c r="BE13" i="1"/>
  <c r="BI2" i="1"/>
  <c r="BH7" i="1"/>
  <c r="BI7" i="1" s="1"/>
  <c r="BH6" i="1"/>
  <c r="BD28" i="1" l="1"/>
  <c r="BD30" i="1" s="1"/>
  <c r="BD32" i="1" s="1"/>
  <c r="BD22" i="1"/>
  <c r="BE21" i="1"/>
  <c r="BE16" i="1"/>
  <c r="BG8" i="1"/>
  <c r="BF20" i="1"/>
  <c r="BF13" i="1"/>
  <c r="BI6" i="1"/>
  <c r="BI24" i="1"/>
  <c r="BH24" i="1"/>
  <c r="BJ2" i="1"/>
  <c r="BI17" i="1"/>
  <c r="BJ17" i="1" s="1"/>
  <c r="BE28" i="1" l="1"/>
  <c r="BE30" i="1" s="1"/>
  <c r="BE32" i="1" s="1"/>
  <c r="BE22" i="1"/>
  <c r="BF21" i="1"/>
  <c r="BF16" i="1"/>
  <c r="BH8" i="1"/>
  <c r="BG20" i="1"/>
  <c r="BG13" i="1"/>
  <c r="BJ6" i="1"/>
  <c r="BJ24" i="1"/>
  <c r="BK2" i="1"/>
  <c r="BK17" i="1" s="1"/>
  <c r="BK6" i="1"/>
  <c r="BK24" i="1" s="1"/>
  <c r="BJ7" i="1"/>
  <c r="BK7" i="1" s="1"/>
  <c r="BF28" i="1" l="1"/>
  <c r="BF30" i="1" s="1"/>
  <c r="BF32" i="1" s="1"/>
  <c r="BF22" i="1"/>
  <c r="BG21" i="1"/>
  <c r="BG16" i="1"/>
  <c r="BI8" i="1"/>
  <c r="BH20" i="1"/>
  <c r="BH13" i="1"/>
  <c r="BG28" i="1" l="1"/>
  <c r="BG30" i="1" s="1"/>
  <c r="BG32" i="1" s="1"/>
  <c r="BG22" i="1"/>
  <c r="BH21" i="1"/>
  <c r="BH16" i="1"/>
  <c r="BJ8" i="1"/>
  <c r="BI20" i="1"/>
  <c r="BI13" i="1"/>
  <c r="BH28" i="1" l="1"/>
  <c r="BH30" i="1" s="1"/>
  <c r="BH32" i="1" s="1"/>
  <c r="BH22" i="1"/>
  <c r="BI21" i="1"/>
  <c r="BI16" i="1"/>
  <c r="BK8" i="1"/>
  <c r="BJ20" i="1"/>
  <c r="BJ13" i="1"/>
  <c r="BI28" i="1" l="1"/>
  <c r="BI30" i="1" s="1"/>
  <c r="BI32" i="1" s="1"/>
  <c r="BI22" i="1"/>
  <c r="BJ21" i="1"/>
  <c r="BJ16" i="1"/>
  <c r="BK20" i="1"/>
  <c r="BK13" i="1"/>
  <c r="BJ28" i="1" l="1"/>
  <c r="BJ30" i="1" s="1"/>
  <c r="BJ32" i="1" s="1"/>
  <c r="BJ22" i="1"/>
  <c r="BK16" i="1"/>
  <c r="BK21" i="1"/>
  <c r="BK28" i="1" l="1"/>
  <c r="BK30" i="1" s="1"/>
  <c r="BK32" i="1" s="1"/>
  <c r="BK22" i="1"/>
</calcChain>
</file>

<file path=xl/sharedStrings.xml><?xml version="1.0" encoding="utf-8"?>
<sst xmlns="http://schemas.openxmlformats.org/spreadsheetml/2006/main" count="84" uniqueCount="70">
  <si>
    <t>PNG.V</t>
  </si>
  <si>
    <t>Gross Profit Growth</t>
  </si>
  <si>
    <t>Revenue Growth</t>
  </si>
  <si>
    <t>Discount</t>
  </si>
  <si>
    <t>Kraken Robotics (2020)</t>
  </si>
  <si>
    <t>Revenue</t>
  </si>
  <si>
    <t>Current</t>
  </si>
  <si>
    <t>Gross Profit</t>
  </si>
  <si>
    <t>Ongoing</t>
  </si>
  <si>
    <t>Income Statement</t>
  </si>
  <si>
    <t>Q1/2017</t>
  </si>
  <si>
    <t>Q2/2017</t>
  </si>
  <si>
    <t>Q3/2017</t>
  </si>
  <si>
    <t>Q4/2017</t>
  </si>
  <si>
    <t>Q1/2018</t>
  </si>
  <si>
    <t>Q2/2018</t>
  </si>
  <si>
    <t>Q3/2018</t>
  </si>
  <si>
    <t>Q4/2018</t>
  </si>
  <si>
    <t>Q1/2019</t>
  </si>
  <si>
    <t>Q2/2019</t>
  </si>
  <si>
    <t>Q3/2019</t>
  </si>
  <si>
    <t>Q4/2019</t>
  </si>
  <si>
    <t>Q1/2020</t>
  </si>
  <si>
    <t>Q2/2020</t>
  </si>
  <si>
    <t>Q3/2020</t>
  </si>
  <si>
    <t>2020(3 Q's, 4Q simulated)</t>
  </si>
  <si>
    <t>Cost On Goods Sold</t>
  </si>
  <si>
    <t>R&amp;D</t>
  </si>
  <si>
    <t>Administrative</t>
  </si>
  <si>
    <t>Other Operating Costs</t>
  </si>
  <si>
    <t>Assistance +</t>
  </si>
  <si>
    <t>Operating Profit</t>
  </si>
  <si>
    <t>Other Costs</t>
  </si>
  <si>
    <t>Other Gains</t>
  </si>
  <si>
    <t>Net Income</t>
  </si>
  <si>
    <t>EPS</t>
  </si>
  <si>
    <t>Shares</t>
  </si>
  <si>
    <t>Gross Margin %</t>
  </si>
  <si>
    <t>Operating Margin %</t>
  </si>
  <si>
    <t>Net Margin %</t>
  </si>
  <si>
    <t>Revenue Q/Q</t>
  </si>
  <si>
    <t>Revenue Y/Y</t>
  </si>
  <si>
    <t>Gross Profit Y/Y</t>
  </si>
  <si>
    <t>Price Per Share</t>
  </si>
  <si>
    <t>Discount Rate</t>
  </si>
  <si>
    <t>NPV</t>
  </si>
  <si>
    <t>Market Cap</t>
  </si>
  <si>
    <t>Net Cash</t>
  </si>
  <si>
    <t>Cash</t>
  </si>
  <si>
    <t>Total Value</t>
  </si>
  <si>
    <t>Debt</t>
  </si>
  <si>
    <t>Per Share</t>
  </si>
  <si>
    <t>Per Share In Perpetuity</t>
  </si>
  <si>
    <t>EV (Real Value)</t>
  </si>
  <si>
    <t>Q1/17-&gt;Q3/20</t>
  </si>
  <si>
    <t>Calculating these values</t>
  </si>
  <si>
    <t>Whats cash? (For PNG atleast)</t>
  </si>
  <si>
    <t>Well whats debt?</t>
  </si>
  <si>
    <t>Anything someone tells you they owe them</t>
  </si>
  <si>
    <t>Inventory</t>
  </si>
  <si>
    <t>Investment Tax Credits</t>
  </si>
  <si>
    <t>Investments</t>
  </si>
  <si>
    <t>Prepayments</t>
  </si>
  <si>
    <t>Other stuff like trade, properties, intellectual properties, receivables, etc leave it</t>
  </si>
  <si>
    <t>Risk &amp; Opportunity Cost</t>
  </si>
  <si>
    <t>A contract to receive 1 dollar every year forever is only worth $33.32 with an opportunity and risk of 3% yearly</t>
  </si>
  <si>
    <t>By the 194th year we start getting 0 dollars a year which means this contract is only worth $33 dollars</t>
  </si>
  <si>
    <t>1 dollar today &gt; 1 dollar tomorrow</t>
  </si>
  <si>
    <t>Present Value</t>
  </si>
  <si>
    <t>Amount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</si>
</sst>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/>
    <xf numFmtId="4" fontId="1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1" fillId="0" borderId="0" xfId="0" applyNumberFormat="1" applyFont="1"/>
    <xf numFmtId="9" fontId="0" fillId="0" borderId="0" xfId="0" applyNumberFormat="1" applyFont="1"/>
    <xf numFmtId="3" fontId="0" fillId="0" borderId="0" xfId="0" applyNumberFormat="1"/>
    <xf numFmtId="9" fontId="1" fillId="0" borderId="0" xfId="0" applyNumberFormat="1" applyFont="1"/>
    <xf numFmtId="9" fontId="0" fillId="0" borderId="0" xfId="0" applyNumberFormat="1"/>
    <xf numFmtId="1" fontId="0" fillId="0" borderId="0" xfId="0" applyNumberFormat="1" applyFont="1"/>
    <xf numFmtId="10" fontId="0" fillId="0" borderId="0" xfId="0" applyNumberFormat="1" applyFont="1"/>
    <xf numFmtId="4" fontId="2" fillId="0" borderId="0" xfId="0" quotePrefix="1" applyNumberFormat="1" applyFont="1" applyAlignment="1">
      <alignment wrapText="1"/>
    </xf>
    <xf numFmtId="4" fontId="0" fillId="0" borderId="0" xfId="0" applyNumberFormat="1"/>
    <xf numFmtId="0" fontId="0" fillId="0" borderId="0" xfId="0" applyNumberFormat="1" applyFont="1"/>
    <xf numFmtId="0" fontId="0" fillId="0" borderId="0" xfId="0" applyNumberFormat="1"/>
    <xf numFmtId="164" fontId="0" fillId="0" borderId="0" xfId="0" applyNumberFormat="1" applyFont="1"/>
    <xf numFmtId="164" fontId="1" fillId="0" borderId="0" xfId="0" applyNumberFormat="1" applyFont="1"/>
    <xf numFmtId="165" fontId="0" fillId="0" borderId="0" xfId="0" applyNumberFormat="1"/>
    <xf numFmtId="10" fontId="0" fillId="0" borderId="0" xfId="0" applyNumberFormat="1"/>
    <xf numFmtId="164" fontId="0" fillId="0" borderId="0" xfId="0" applyNumberFormat="1"/>
    <xf numFmtId="2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299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/>
  <cols>
    <col min="1" max="1" width="22.7109375" style="4" customWidth="1"/>
    <col min="2" max="15" width="15.42578125" style="4" customWidth="1"/>
    <col min="16" max="16" width="14" style="4" bestFit="1" customWidth="1"/>
    <col min="17" max="21" width="18" style="4" customWidth="1"/>
    <col min="22" max="22" width="13" style="4" customWidth="1"/>
    <col min="23" max="31" width="16.28515625" style="4" customWidth="1"/>
    <col min="32" max="32" width="16.28515625" style="1" customWidth="1"/>
    <col min="33" max="63" width="16.28515625" customWidth="1"/>
    <col min="65" max="65" width="20.7109375" customWidth="1"/>
    <col min="66" max="66" width="21.140625" customWidth="1"/>
    <col min="67" max="67" width="17.42578125" customWidth="1"/>
  </cols>
  <sheetData>
    <row r="1" spans="1:86">
      <c r="A1" s="4" t="s">
        <v>0</v>
      </c>
      <c r="Q1" s="4" t="s">
        <v>1</v>
      </c>
      <c r="R1" s="9">
        <f>AVERAGE(R25:T25)</f>
        <v>1.1622526992352802</v>
      </c>
      <c r="S1" s="4" t="s">
        <v>2</v>
      </c>
      <c r="T1" s="9">
        <f>AVERAGE(R24:T24)</f>
        <v>1.0999846177825752</v>
      </c>
      <c r="U1" s="9"/>
      <c r="V1" s="4" t="s">
        <v>3</v>
      </c>
      <c r="W1" s="9">
        <v>0.17499999999999999</v>
      </c>
    </row>
    <row r="2" spans="1:86" s="1" customFormat="1">
      <c r="A2" s="4" t="s">
        <v>4</v>
      </c>
      <c r="B2" s="4"/>
      <c r="C2" s="4"/>
      <c r="D2" s="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7"/>
      <c r="S2" s="4"/>
      <c r="T2" s="7" t="s">
        <v>5</v>
      </c>
      <c r="U2" s="7"/>
      <c r="V2" s="17">
        <f>T1</f>
        <v>1.0999846177825752</v>
      </c>
      <c r="W2" s="17">
        <f>V2*(1-$W1)</f>
        <v>0.90748730967062452</v>
      </c>
      <c r="X2" s="17">
        <f t="shared" ref="X2:AY2" si="0">W2*(1-$W1)</f>
        <v>0.74867703047826517</v>
      </c>
      <c r="Y2" s="17">
        <f t="shared" si="0"/>
        <v>0.61765855014456872</v>
      </c>
      <c r="Z2" s="17">
        <f t="shared" si="0"/>
        <v>0.50956830386926921</v>
      </c>
      <c r="AA2" s="17">
        <f t="shared" si="0"/>
        <v>0.42039385069214708</v>
      </c>
      <c r="AB2" s="17">
        <f t="shared" si="0"/>
        <v>0.34682492682102134</v>
      </c>
      <c r="AC2" s="17">
        <f>AB2*(1-$W1)</f>
        <v>0.2861305646273426</v>
      </c>
      <c r="AD2" s="17">
        <f t="shared" si="0"/>
        <v>0.23605771581755763</v>
      </c>
      <c r="AE2" s="17">
        <f t="shared" si="0"/>
        <v>0.19474761554948503</v>
      </c>
      <c r="AF2" s="17">
        <f t="shared" si="0"/>
        <v>0.16066678282832514</v>
      </c>
      <c r="AG2" s="17">
        <f t="shared" si="0"/>
        <v>0.13255009583336824</v>
      </c>
      <c r="AH2" s="17">
        <f t="shared" si="0"/>
        <v>0.10935382906252879</v>
      </c>
      <c r="AI2" s="17">
        <f t="shared" si="0"/>
        <v>9.0216908976586241E-2</v>
      </c>
      <c r="AJ2" s="17">
        <f t="shared" si="0"/>
        <v>7.4428949905683647E-2</v>
      </c>
      <c r="AK2" s="17">
        <f t="shared" si="0"/>
        <v>6.1403883672189005E-2</v>
      </c>
      <c r="AL2" s="17">
        <f t="shared" si="0"/>
        <v>5.0658204029555925E-2</v>
      </c>
      <c r="AM2" s="17">
        <f t="shared" si="0"/>
        <v>4.1793018324383639E-2</v>
      </c>
      <c r="AN2" s="17">
        <f t="shared" si="0"/>
        <v>3.4479240117616501E-2</v>
      </c>
      <c r="AO2" s="17">
        <f t="shared" si="0"/>
        <v>2.8445373097033613E-2</v>
      </c>
      <c r="AP2" s="17">
        <f t="shared" si="0"/>
        <v>2.3467432805052729E-2</v>
      </c>
      <c r="AQ2" s="17">
        <f t="shared" si="0"/>
        <v>1.93606320641685E-2</v>
      </c>
      <c r="AR2" s="17">
        <f t="shared" si="0"/>
        <v>1.5972521452939013E-2</v>
      </c>
      <c r="AS2" s="17">
        <f t="shared" si="0"/>
        <v>1.3177330198674685E-2</v>
      </c>
      <c r="AT2" s="17">
        <f t="shared" si="0"/>
        <v>1.0871297413906614E-2</v>
      </c>
      <c r="AU2" s="17">
        <f t="shared" si="0"/>
        <v>8.9688203664729568E-3</v>
      </c>
      <c r="AV2" s="17">
        <f t="shared" si="0"/>
        <v>7.3992768023401888E-3</v>
      </c>
      <c r="AW2" s="17">
        <f t="shared" si="0"/>
        <v>6.1044033619306552E-3</v>
      </c>
      <c r="AX2" s="17">
        <f t="shared" si="0"/>
        <v>5.0361327735927901E-3</v>
      </c>
      <c r="AY2" s="17">
        <f t="shared" si="0"/>
        <v>4.1548095382140512E-3</v>
      </c>
      <c r="AZ2" s="12">
        <f t="shared" ref="AZ2" si="1">AY2*(1-$W1)</f>
        <v>3.4277178690265923E-3</v>
      </c>
      <c r="BA2" s="12">
        <f t="shared" ref="BA2" si="2">AZ2*(1-$W1)</f>
        <v>2.8278672419469386E-3</v>
      </c>
      <c r="BB2" s="12">
        <f t="shared" ref="BB2" si="3">BA2*(1-$W1)</f>
        <v>2.3329904746062242E-3</v>
      </c>
      <c r="BC2" s="12">
        <f t="shared" ref="BC2" si="4">BB2*(1-$W1)</f>
        <v>1.9247171415501349E-3</v>
      </c>
      <c r="BD2" s="12">
        <f t="shared" ref="BD2" si="5">BC2*(1-$W1)</f>
        <v>1.5878916417788613E-3</v>
      </c>
      <c r="BE2" s="12">
        <f t="shared" ref="BE2" si="6">BD2*(1-$W1)</f>
        <v>1.3100106044675605E-3</v>
      </c>
      <c r="BF2" s="12">
        <f t="shared" ref="BF2" si="7">BE2*(1-$W1)</f>
        <v>1.0807587486857373E-3</v>
      </c>
      <c r="BG2" s="12">
        <f t="shared" ref="BG2" si="8">BF2*(1-$W1)</f>
        <v>8.916259676657333E-4</v>
      </c>
      <c r="BH2" s="12">
        <f t="shared" ref="BH2" si="9">BG2*(1-$W1)</f>
        <v>7.355914233242299E-4</v>
      </c>
      <c r="BI2" s="12">
        <f t="shared" ref="BI2" si="10">BH2*(1-$W1)</f>
        <v>6.0686292424248962E-4</v>
      </c>
      <c r="BJ2" s="12">
        <f t="shared" ref="BJ2" si="11">BI2*(1-$W1)</f>
        <v>5.0066191250005393E-4</v>
      </c>
      <c r="BK2" s="12">
        <f t="shared" ref="BK2" si="12">BJ2*(1-$W1)</f>
        <v>4.1304607781254447E-4</v>
      </c>
    </row>
    <row r="3" spans="1:86">
      <c r="P3" s="4" t="s">
        <v>6</v>
      </c>
      <c r="T3" s="4" t="s">
        <v>7</v>
      </c>
      <c r="V3" s="17">
        <f>R1</f>
        <v>1.1622526992352802</v>
      </c>
      <c r="W3" s="17">
        <f>V3*(1-$W1)</f>
        <v>0.95885847686910608</v>
      </c>
      <c r="X3" s="17">
        <f t="shared" ref="X3:BK3" si="13">W3*(1-$W1)</f>
        <v>0.79105824341701247</v>
      </c>
      <c r="Y3" s="17">
        <f t="shared" si="13"/>
        <v>0.65262305081903527</v>
      </c>
      <c r="Z3" s="17">
        <f t="shared" si="13"/>
        <v>0.53841401692570412</v>
      </c>
      <c r="AA3" s="17">
        <f t="shared" si="13"/>
        <v>0.44419156396370585</v>
      </c>
      <c r="AB3" s="17">
        <f t="shared" si="13"/>
        <v>0.36645804027005729</v>
      </c>
      <c r="AC3" s="17">
        <f t="shared" si="13"/>
        <v>0.30232788322279724</v>
      </c>
      <c r="AD3" s="17">
        <f t="shared" si="13"/>
        <v>0.24942050365880772</v>
      </c>
      <c r="AE3" s="17">
        <f t="shared" si="13"/>
        <v>0.20577191551851637</v>
      </c>
      <c r="AF3" s="17">
        <f t="shared" si="13"/>
        <v>0.169761830302776</v>
      </c>
      <c r="AG3" s="21">
        <f t="shared" si="13"/>
        <v>0.14005350999979019</v>
      </c>
      <c r="AH3" s="21">
        <f t="shared" si="13"/>
        <v>0.1155441457498269</v>
      </c>
      <c r="AI3" s="21">
        <f t="shared" si="13"/>
        <v>9.5323920243607183E-2</v>
      </c>
      <c r="AJ3" s="21">
        <f t="shared" si="13"/>
        <v>7.8642234200975922E-2</v>
      </c>
      <c r="AK3" s="21">
        <f t="shared" si="13"/>
        <v>6.487984321580513E-2</v>
      </c>
      <c r="AL3" s="21">
        <f t="shared" si="13"/>
        <v>5.352587065303923E-2</v>
      </c>
      <c r="AM3" s="21">
        <f t="shared" si="13"/>
        <v>4.4158843288757361E-2</v>
      </c>
      <c r="AN3" s="21">
        <f t="shared" si="13"/>
        <v>3.6431045713224822E-2</v>
      </c>
      <c r="AO3" s="21">
        <f t="shared" si="13"/>
        <v>3.0055612713410475E-2</v>
      </c>
      <c r="AP3" s="21">
        <f t="shared" si="13"/>
        <v>2.479588048856364E-2</v>
      </c>
      <c r="AQ3" s="21">
        <f t="shared" si="13"/>
        <v>2.0456601403065003E-2</v>
      </c>
      <c r="AR3" s="21">
        <f t="shared" si="13"/>
        <v>1.6876696157528626E-2</v>
      </c>
      <c r="AS3" s="21">
        <f t="shared" si="13"/>
        <v>1.3923274329961115E-2</v>
      </c>
      <c r="AT3" s="21">
        <f t="shared" si="13"/>
        <v>1.1486701322217919E-2</v>
      </c>
      <c r="AU3" s="21">
        <f t="shared" si="13"/>
        <v>9.4765285908297824E-3</v>
      </c>
      <c r="AV3" s="21">
        <f t="shared" si="13"/>
        <v>7.8181360874345698E-3</v>
      </c>
      <c r="AW3" s="21">
        <f t="shared" si="13"/>
        <v>6.4499622721335198E-3</v>
      </c>
      <c r="AX3" s="21">
        <f t="shared" si="13"/>
        <v>5.3212188745101535E-3</v>
      </c>
      <c r="AY3" s="21">
        <f t="shared" si="13"/>
        <v>4.3900055714708765E-3</v>
      </c>
      <c r="AZ3" s="20">
        <f t="shared" si="13"/>
        <v>3.6217545964634728E-3</v>
      </c>
      <c r="BA3" s="20">
        <f t="shared" si="13"/>
        <v>2.987947542082365E-3</v>
      </c>
      <c r="BB3" s="20">
        <f t="shared" si="13"/>
        <v>2.465056722217951E-3</v>
      </c>
      <c r="BC3" s="20">
        <f t="shared" si="13"/>
        <v>2.0336717958298095E-3</v>
      </c>
      <c r="BD3" s="20">
        <f t="shared" si="13"/>
        <v>1.6777792315595928E-3</v>
      </c>
      <c r="BE3" s="20">
        <f t="shared" si="13"/>
        <v>1.384167866036664E-3</v>
      </c>
      <c r="BF3" s="20">
        <f t="shared" si="13"/>
        <v>1.1419384894802477E-3</v>
      </c>
      <c r="BG3" s="20">
        <f t="shared" si="13"/>
        <v>9.4209925382120424E-4</v>
      </c>
      <c r="BH3" s="20">
        <f t="shared" si="13"/>
        <v>7.7723188440249349E-4</v>
      </c>
      <c r="BI3" s="20">
        <f t="shared" si="13"/>
        <v>6.4121630463205711E-4</v>
      </c>
      <c r="BJ3" s="20">
        <f t="shared" si="13"/>
        <v>5.2900345132144712E-4</v>
      </c>
      <c r="BK3" s="20">
        <f t="shared" si="13"/>
        <v>4.3642784734019386E-4</v>
      </c>
    </row>
    <row r="4" spans="1:86">
      <c r="V4" s="4" t="s">
        <v>8</v>
      </c>
    </row>
    <row r="5" spans="1:86" s="14" customFormat="1">
      <c r="A5" s="4" t="s">
        <v>9</v>
      </c>
      <c r="B5" s="4" t="s">
        <v>10</v>
      </c>
      <c r="C5" s="4" t="s">
        <v>11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17</v>
      </c>
      <c r="J5" s="4" t="s">
        <v>18</v>
      </c>
      <c r="K5" s="4" t="s">
        <v>19</v>
      </c>
      <c r="L5" s="4" t="s">
        <v>20</v>
      </c>
      <c r="M5" s="4" t="s">
        <v>21</v>
      </c>
      <c r="N5" s="4" t="s">
        <v>22</v>
      </c>
      <c r="O5" s="4" t="s">
        <v>23</v>
      </c>
      <c r="P5" s="4" t="s">
        <v>24</v>
      </c>
      <c r="Q5" s="15">
        <v>2017</v>
      </c>
      <c r="R5" s="15">
        <v>2018</v>
      </c>
      <c r="S5" s="15">
        <v>2019</v>
      </c>
      <c r="T5" s="15" t="s">
        <v>25</v>
      </c>
      <c r="U5" s="15"/>
      <c r="V5" s="15">
        <v>2021</v>
      </c>
      <c r="W5" s="15">
        <f>V5+1</f>
        <v>2022</v>
      </c>
      <c r="X5" s="15">
        <f t="shared" ref="X5:BC5" si="14">W5+1</f>
        <v>2023</v>
      </c>
      <c r="Y5" s="15">
        <f t="shared" si="14"/>
        <v>2024</v>
      </c>
      <c r="Z5" s="15">
        <f t="shared" si="14"/>
        <v>2025</v>
      </c>
      <c r="AA5" s="15">
        <f t="shared" si="14"/>
        <v>2026</v>
      </c>
      <c r="AB5" s="15">
        <f t="shared" si="14"/>
        <v>2027</v>
      </c>
      <c r="AC5" s="15">
        <f t="shared" si="14"/>
        <v>2028</v>
      </c>
      <c r="AD5" s="15">
        <f t="shared" si="14"/>
        <v>2029</v>
      </c>
      <c r="AE5" s="15">
        <f t="shared" si="14"/>
        <v>2030</v>
      </c>
      <c r="AF5" s="15">
        <f t="shared" si="14"/>
        <v>2031</v>
      </c>
      <c r="AG5" s="16">
        <f t="shared" si="14"/>
        <v>2032</v>
      </c>
      <c r="AH5" s="16">
        <f t="shared" si="14"/>
        <v>2033</v>
      </c>
      <c r="AI5" s="16">
        <f t="shared" si="14"/>
        <v>2034</v>
      </c>
      <c r="AJ5" s="16">
        <f t="shared" si="14"/>
        <v>2035</v>
      </c>
      <c r="AK5" s="16">
        <f t="shared" si="14"/>
        <v>2036</v>
      </c>
      <c r="AL5" s="16">
        <f t="shared" si="14"/>
        <v>2037</v>
      </c>
      <c r="AM5" s="16">
        <f t="shared" si="14"/>
        <v>2038</v>
      </c>
      <c r="AN5" s="16">
        <f t="shared" si="14"/>
        <v>2039</v>
      </c>
      <c r="AO5" s="16">
        <f t="shared" si="14"/>
        <v>2040</v>
      </c>
      <c r="AP5" s="16">
        <f t="shared" si="14"/>
        <v>2041</v>
      </c>
      <c r="AQ5" s="16">
        <f t="shared" si="14"/>
        <v>2042</v>
      </c>
      <c r="AR5" s="16">
        <f t="shared" si="14"/>
        <v>2043</v>
      </c>
      <c r="AS5" s="16">
        <f t="shared" si="14"/>
        <v>2044</v>
      </c>
      <c r="AT5" s="16">
        <f t="shared" si="14"/>
        <v>2045</v>
      </c>
      <c r="AU5" s="16">
        <f t="shared" si="14"/>
        <v>2046</v>
      </c>
      <c r="AV5" s="16">
        <f t="shared" si="14"/>
        <v>2047</v>
      </c>
      <c r="AW5" s="16">
        <f t="shared" si="14"/>
        <v>2048</v>
      </c>
      <c r="AX5" s="16">
        <f t="shared" si="14"/>
        <v>2049</v>
      </c>
      <c r="AY5" s="16">
        <f t="shared" si="14"/>
        <v>2050</v>
      </c>
      <c r="AZ5" s="16">
        <f t="shared" ref="AZ5" si="15">AY5+1</f>
        <v>2051</v>
      </c>
      <c r="BA5" s="16">
        <f t="shared" ref="BA5" si="16">AZ5+1</f>
        <v>2052</v>
      </c>
      <c r="BB5" s="16">
        <f t="shared" ref="BB5" si="17">BA5+1</f>
        <v>2053</v>
      </c>
      <c r="BC5" s="16">
        <f t="shared" ref="BC5" si="18">BB5+1</f>
        <v>2054</v>
      </c>
      <c r="BD5" s="16">
        <f t="shared" ref="BD5" si="19">BC5+1</f>
        <v>2055</v>
      </c>
      <c r="BE5" s="16">
        <f t="shared" ref="BE5" si="20">BD5+1</f>
        <v>2056</v>
      </c>
      <c r="BF5" s="16">
        <f t="shared" ref="BF5" si="21">BE5+1</f>
        <v>2057</v>
      </c>
      <c r="BG5" s="16">
        <f t="shared" ref="BG5" si="22">BF5+1</f>
        <v>2058</v>
      </c>
      <c r="BH5" s="16">
        <f t="shared" ref="BH5" si="23">BG5+1</f>
        <v>2059</v>
      </c>
      <c r="BI5" s="16">
        <f t="shared" ref="BI5" si="24">BH5+1</f>
        <v>2060</v>
      </c>
      <c r="BJ5" s="16">
        <f t="shared" ref="BJ5" si="25">BI5+1</f>
        <v>2061</v>
      </c>
      <c r="BK5" s="16">
        <f t="shared" ref="BK5" si="26">BJ5+1</f>
        <v>2062</v>
      </c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</row>
    <row r="6" spans="1:86" s="6" customFormat="1">
      <c r="A6" s="6" t="s">
        <v>5</v>
      </c>
      <c r="B6" s="6">
        <v>246498</v>
      </c>
      <c r="C6" s="6">
        <v>161917</v>
      </c>
      <c r="D6" s="6">
        <f>1008244+577420</f>
        <v>1585664</v>
      </c>
      <c r="E6" s="6">
        <f>2874467+659138</f>
        <v>3533605</v>
      </c>
      <c r="F6" s="6">
        <v>0</v>
      </c>
      <c r="G6" s="6">
        <f>3684979+41668</f>
        <v>3726647</v>
      </c>
      <c r="H6" s="6">
        <f>1430474+134634+9227</f>
        <v>1574335</v>
      </c>
      <c r="I6" s="6">
        <v>0</v>
      </c>
      <c r="J6" s="6">
        <f>1112068+257317</f>
        <v>1369385</v>
      </c>
      <c r="K6" s="6">
        <f>1085453+252042</f>
        <v>1337495</v>
      </c>
      <c r="L6" s="6">
        <f>7745897+76555</f>
        <v>7822452</v>
      </c>
      <c r="M6" s="6">
        <f>14394964+751012</f>
        <v>15145976</v>
      </c>
      <c r="N6" s="6">
        <f>4973413+1417262</f>
        <v>6390675</v>
      </c>
      <c r="O6" s="6">
        <f>2198615+83314</f>
        <v>2281929</v>
      </c>
      <c r="P6" s="6">
        <f>1501400+44063</f>
        <v>1545463</v>
      </c>
      <c r="Q6" s="6">
        <f>SUM(B6:E6)</f>
        <v>5527684</v>
      </c>
      <c r="R6" s="6">
        <f>SUM(F6:I6)</f>
        <v>5300982</v>
      </c>
      <c r="S6" s="6">
        <f>SUM(J6:M6)</f>
        <v>25675308</v>
      </c>
      <c r="T6" s="6">
        <f>SUM(N6:P6)*1.25</f>
        <v>12772583.75</v>
      </c>
      <c r="V6" s="6">
        <f>T6+T6*V2</f>
        <v>26822229.404339679</v>
      </c>
      <c r="W6" s="6">
        <f t="shared" ref="W6:BK6" si="27">V6+V6*W2</f>
        <v>51163062.205852211</v>
      </c>
      <c r="X6" s="6">
        <f t="shared" si="27"/>
        <v>89467671.688304394</v>
      </c>
      <c r="Y6" s="6">
        <f t="shared" si="27"/>
        <v>144728144.06811276</v>
      </c>
      <c r="Z6" s="6">
        <f t="shared" si="27"/>
        <v>218477018.96304822</v>
      </c>
      <c r="AA6" s="6">
        <f t="shared" si="27"/>
        <v>310323414.25266528</v>
      </c>
      <c r="AB6" s="6">
        <f t="shared" si="27"/>
        <v>417951309.69169539</v>
      </c>
      <c r="AC6" s="6">
        <f t="shared" si="27"/>
        <v>537539953.92051756</v>
      </c>
      <c r="AD6" s="6">
        <f t="shared" si="27"/>
        <v>664430407.60367012</v>
      </c>
      <c r="AE6" s="6">
        <f t="shared" si="27"/>
        <v>793826645.18305731</v>
      </c>
      <c r="AF6" s="6">
        <f t="shared" si="27"/>
        <v>921368218.38802147</v>
      </c>
      <c r="AG6" s="6">
        <f t="shared" si="27"/>
        <v>1043495664.0331734</v>
      </c>
      <c r="AH6" s="6">
        <f t="shared" si="27"/>
        <v>1157605910.505347</v>
      </c>
      <c r="AI6" s="6">
        <f t="shared" si="27"/>
        <v>1262041537.5641661</v>
      </c>
      <c r="AJ6" s="6">
        <f t="shared" si="27"/>
        <v>1355973963.9424214</v>
      </c>
      <c r="AK6" s="6">
        <f>AJ6+AJ6*AK2</f>
        <v>1439236031.4868588</v>
      </c>
      <c r="AL6" s="6">
        <f t="shared" si="27"/>
        <v>1512145144.0166085</v>
      </c>
      <c r="AM6" s="6">
        <f t="shared" si="27"/>
        <v>1575342253.7296224</v>
      </c>
      <c r="AN6" s="6">
        <f t="shared" si="27"/>
        <v>1629658857.5633931</v>
      </c>
      <c r="AO6" s="6">
        <f t="shared" si="27"/>
        <v>1676015111.7876694</v>
      </c>
      <c r="AP6" s="6">
        <f t="shared" si="27"/>
        <v>1715346883.8037994</v>
      </c>
      <c r="AQ6" s="6">
        <f t="shared" si="27"/>
        <v>1748557083.6835427</v>
      </c>
      <c r="AR6" s="6">
        <f t="shared" si="27"/>
        <v>1776485949.2143667</v>
      </c>
      <c r="AS6" s="6">
        <f t="shared" si="27"/>
        <v>1799895291.1604705</v>
      </c>
      <c r="AT6" s="6">
        <f t="shared" si="27"/>
        <v>1819462488.184566</v>
      </c>
      <c r="AU6" s="6">
        <f t="shared" si="27"/>
        <v>1835780920.4046292</v>
      </c>
      <c r="AV6" s="6">
        <f t="shared" si="27"/>
        <v>1849364371.583158</v>
      </c>
      <c r="AW6" s="6">
        <f t="shared" si="27"/>
        <v>1860653637.670485</v>
      </c>
      <c r="AX6" s="6">
        <f t="shared" si="27"/>
        <v>1870024136.435462</v>
      </c>
      <c r="AY6" s="6">
        <f t="shared" si="27"/>
        <v>1877793730.5542145</v>
      </c>
      <c r="AZ6" s="6">
        <f t="shared" si="27"/>
        <v>1884230277.6787813</v>
      </c>
      <c r="BA6" s="6">
        <f t="shared" si="27"/>
        <v>1889558630.7573137</v>
      </c>
      <c r="BB6" s="6">
        <f t="shared" si="27"/>
        <v>1893966953.0440805</v>
      </c>
      <c r="BC6" s="6">
        <f t="shared" si="27"/>
        <v>1897612303.704134</v>
      </c>
      <c r="BD6" s="6">
        <f t="shared" si="27"/>
        <v>1900625506.4205225</v>
      </c>
      <c r="BE6" s="6">
        <f t="shared" si="27"/>
        <v>1903115345.9890549</v>
      </c>
      <c r="BF6" s="6">
        <f t="shared" si="27"/>
        <v>1905172154.5489907</v>
      </c>
      <c r="BG6" s="6">
        <f t="shared" si="27"/>
        <v>1906870855.5148604</v>
      </c>
      <c r="BH6" s="6">
        <f t="shared" si="27"/>
        <v>1908273533.3615642</v>
      </c>
      <c r="BI6" s="6">
        <f t="shared" si="27"/>
        <v>1909431593.8182745</v>
      </c>
      <c r="BJ6" s="6">
        <f t="shared" si="27"/>
        <v>1910387573.4918237</v>
      </c>
      <c r="BK6" s="6">
        <f t="shared" si="27"/>
        <v>1911176651.5861564</v>
      </c>
    </row>
    <row r="7" spans="1:86" s="8" customFormat="1">
      <c r="A7" s="5" t="s">
        <v>26</v>
      </c>
      <c r="B7" s="5">
        <v>169367</v>
      </c>
      <c r="C7" s="5">
        <v>182194</v>
      </c>
      <c r="D7" s="5">
        <f>419694</f>
        <v>419694</v>
      </c>
      <c r="E7" s="5">
        <v>1936463</v>
      </c>
      <c r="F7" s="5">
        <v>234147</v>
      </c>
      <c r="G7" s="5">
        <v>1416742</v>
      </c>
      <c r="H7" s="5">
        <v>1519502</v>
      </c>
      <c r="I7" s="5"/>
      <c r="J7" s="5">
        <v>780628</v>
      </c>
      <c r="K7" s="5">
        <v>708837</v>
      </c>
      <c r="L7" s="5">
        <v>4707193</v>
      </c>
      <c r="M7" s="5">
        <v>8441506</v>
      </c>
      <c r="N7" s="5">
        <v>3472702</v>
      </c>
      <c r="O7" s="5">
        <f>1139299</f>
        <v>1139299</v>
      </c>
      <c r="P7" s="5">
        <v>741777</v>
      </c>
      <c r="Q7" s="5">
        <f>SUM(B7:E7)</f>
        <v>2707718</v>
      </c>
      <c r="R7" s="5">
        <f>SUM(F7:I7)</f>
        <v>3170391</v>
      </c>
      <c r="S7" s="5">
        <f>SUM(J7:M7)</f>
        <v>14638164</v>
      </c>
      <c r="T7" s="5">
        <f>SUM(N7:P7)*1.25</f>
        <v>6692222.5</v>
      </c>
      <c r="U7" s="5"/>
      <c r="V7" s="5">
        <f>T7+T7*V2</f>
        <v>14053564.30877845</v>
      </c>
      <c r="W7" s="5">
        <f t="shared" ref="W7:BK7" si="28">V7+V7*W2</f>
        <v>26806995.574634917</v>
      </c>
      <c r="X7" s="5">
        <f t="shared" si="28"/>
        <v>46876777.417496577</v>
      </c>
      <c r="Y7" s="5">
        <f t="shared" si="28"/>
        <v>75830619.792637169</v>
      </c>
      <c r="Z7" s="5">
        <f t="shared" si="28"/>
        <v>114471500.10172673</v>
      </c>
      <c r="AA7" s="5">
        <f t="shared" si="28"/>
        <v>162594614.82399812</v>
      </c>
      <c r="AB7" s="5">
        <f t="shared" si="28"/>
        <v>218986480.21182343</v>
      </c>
      <c r="AC7" s="5">
        <f t="shared" si="28"/>
        <v>281645205.44058686</v>
      </c>
      <c r="AD7" s="5">
        <f t="shared" si="28"/>
        <v>348129729.30785859</v>
      </c>
      <c r="AE7" s="5">
        <f t="shared" si="28"/>
        <v>415927163.99245173</v>
      </c>
      <c r="AF7" s="5">
        <f t="shared" si="28"/>
        <v>482752843.32202816</v>
      </c>
      <c r="AG7" s="8">
        <f t="shared" si="28"/>
        <v>546741778.96819401</v>
      </c>
      <c r="AH7" s="8">
        <f t="shared" si="28"/>
        <v>606530086.00682473</v>
      </c>
      <c r="AI7" s="8">
        <f t="shared" si="28"/>
        <v>661249355.56766343</v>
      </c>
      <c r="AJ7" s="8">
        <f t="shared" si="28"/>
        <v>710465450.7283746</v>
      </c>
      <c r="AK7" s="8">
        <f t="shared" si="28"/>
        <v>754090788.61800909</v>
      </c>
      <c r="AL7" s="8">
        <f t="shared" si="28"/>
        <v>792291673.64462888</v>
      </c>
      <c r="AM7" s="8">
        <f t="shared" si="28"/>
        <v>825403934.07951546</v>
      </c>
      <c r="AN7" s="8">
        <f t="shared" si="28"/>
        <v>853863234.51666832</v>
      </c>
      <c r="AO7" s="8">
        <f t="shared" si="28"/>
        <v>878151692.79633486</v>
      </c>
      <c r="AP7" s="8">
        <f t="shared" si="28"/>
        <v>898759658.63967621</v>
      </c>
      <c r="AQ7" s="8">
        <f t="shared" si="28"/>
        <v>916160213.70471668</v>
      </c>
      <c r="AR7" s="8">
        <f t="shared" si="28"/>
        <v>930793602.37244451</v>
      </c>
      <c r="AS7" s="8">
        <f t="shared" si="28"/>
        <v>943058977.0177201</v>
      </c>
      <c r="AT7" s="8">
        <f t="shared" si="28"/>
        <v>953311251.63573432</v>
      </c>
      <c r="AU7" s="8">
        <f t="shared" si="28"/>
        <v>961861329.00499272</v>
      </c>
      <c r="AV7" s="8">
        <f t="shared" si="28"/>
        <v>968978407.22376752</v>
      </c>
      <c r="AW7" s="8">
        <f t="shared" si="28"/>
        <v>974893442.27046251</v>
      </c>
      <c r="AX7" s="8">
        <f t="shared" si="28"/>
        <v>979803135.08584154</v>
      </c>
      <c r="AY7" s="8">
        <f t="shared" si="28"/>
        <v>983874030.49706817</v>
      </c>
      <c r="AZ7" s="8">
        <f t="shared" si="28"/>
        <v>987246473.09227419</v>
      </c>
      <c r="BA7" s="8">
        <f t="shared" si="28"/>
        <v>990038275.05325949</v>
      </c>
      <c r="BB7" s="8">
        <f t="shared" si="28"/>
        <v>992348024.91845429</v>
      </c>
      <c r="BC7" s="8">
        <f t="shared" si="28"/>
        <v>994258014.17239821</v>
      </c>
      <c r="BD7" s="8">
        <f t="shared" si="28"/>
        <v>995836788.16287422</v>
      </c>
      <c r="BE7" s="8">
        <f t="shared" si="28"/>
        <v>997141344.91568649</v>
      </c>
      <c r="BF7" s="8">
        <f t="shared" si="28"/>
        <v>998219014.14788043</v>
      </c>
      <c r="BG7" s="8">
        <f t="shared" si="28"/>
        <v>999109052.14231241</v>
      </c>
      <c r="BH7" s="8">
        <f t="shared" si="28"/>
        <v>999843988.19203389</v>
      </c>
      <c r="BI7" s="8">
        <f t="shared" si="28"/>
        <v>1000450756.4384943</v>
      </c>
      <c r="BJ7" s="8">
        <f t="shared" si="28"/>
        <v>1000951644.0275749</v>
      </c>
      <c r="BK7" s="8">
        <f t="shared" si="28"/>
        <v>1001365083.1782205</v>
      </c>
    </row>
    <row r="8" spans="1:86" s="6" customFormat="1">
      <c r="A8" s="6" t="s">
        <v>7</v>
      </c>
      <c r="B8" s="6">
        <f>B6-B7</f>
        <v>77131</v>
      </c>
      <c r="C8" s="6">
        <f t="shared" ref="C8:P8" si="29">C6-C7</f>
        <v>-20277</v>
      </c>
      <c r="D8" s="6">
        <f t="shared" si="29"/>
        <v>1165970</v>
      </c>
      <c r="E8" s="6">
        <f t="shared" si="29"/>
        <v>1597142</v>
      </c>
      <c r="F8" s="6">
        <f t="shared" si="29"/>
        <v>-234147</v>
      </c>
      <c r="G8" s="6">
        <f t="shared" si="29"/>
        <v>2309905</v>
      </c>
      <c r="H8" s="6">
        <f t="shared" si="29"/>
        <v>54833</v>
      </c>
      <c r="I8" s="6">
        <f t="shared" si="29"/>
        <v>0</v>
      </c>
      <c r="J8" s="6">
        <f t="shared" si="29"/>
        <v>588757</v>
      </c>
      <c r="K8" s="6">
        <f t="shared" si="29"/>
        <v>628658</v>
      </c>
      <c r="L8" s="6">
        <f t="shared" si="29"/>
        <v>3115259</v>
      </c>
      <c r="M8" s="6">
        <f t="shared" si="29"/>
        <v>6704470</v>
      </c>
      <c r="N8" s="6">
        <f t="shared" si="29"/>
        <v>2917973</v>
      </c>
      <c r="O8" s="6">
        <f t="shared" si="29"/>
        <v>1142630</v>
      </c>
      <c r="P8" s="6">
        <f t="shared" si="29"/>
        <v>803686</v>
      </c>
      <c r="Q8" s="6">
        <f>Q6-Q7</f>
        <v>2819966</v>
      </c>
      <c r="R8" s="6">
        <f>R6-R7</f>
        <v>2130591</v>
      </c>
      <c r="S8" s="6">
        <f>S6-S7</f>
        <v>11037144</v>
      </c>
      <c r="T8" s="6">
        <f>T6-T7</f>
        <v>6080361.25</v>
      </c>
      <c r="V8" s="6">
        <f>+T8+T8*V3</f>
        <v>13147277.525138102</v>
      </c>
      <c r="W8" s="6">
        <f t="shared" ref="W8:BK8" si="30">+V8+V8*W3</f>
        <v>25753656.027867451</v>
      </c>
      <c r="X8" s="6">
        <f t="shared" si="30"/>
        <v>46126297.926838234</v>
      </c>
      <c r="Y8" s="6">
        <f t="shared" si="30"/>
        <v>76229383.202839136</v>
      </c>
      <c r="Z8" s="6">
        <f t="shared" si="30"/>
        <v>117272351.62084855</v>
      </c>
      <c r="AA8" s="6">
        <f t="shared" si="30"/>
        <v>169363740.89701492</v>
      </c>
      <c r="AB8" s="6">
        <f t="shared" si="30"/>
        <v>231428445.47894076</v>
      </c>
      <c r="AC8" s="6">
        <f t="shared" si="30"/>
        <v>301395717.51813143</v>
      </c>
      <c r="AD8" s="6">
        <f t="shared" si="30"/>
        <v>376569989.1821115</v>
      </c>
      <c r="AE8" s="6">
        <f t="shared" si="30"/>
        <v>454057517.18290156</v>
      </c>
      <c r="AF8" s="6">
        <f t="shared" si="30"/>
        <v>531139152.36260509</v>
      </c>
      <c r="AG8" s="6">
        <f t="shared" si="30"/>
        <v>605527054.94930124</v>
      </c>
      <c r="AH8" s="6">
        <f t="shared" si="30"/>
        <v>675492161.24182677</v>
      </c>
      <c r="AI8" s="6">
        <f t="shared" si="30"/>
        <v>739882722.14522457</v>
      </c>
      <c r="AJ8" s="6">
        <f t="shared" si="30"/>
        <v>798068752.46142495</v>
      </c>
      <c r="AK8" s="6">
        <f t="shared" si="30"/>
        <v>849847327.99655545</v>
      </c>
      <c r="AL8" s="6">
        <f t="shared" si="30"/>
        <v>895336146.14973009</v>
      </c>
      <c r="AM8" s="6">
        <f t="shared" si="30"/>
        <v>934873154.71831596</v>
      </c>
      <c r="AN8" s="6">
        <f t="shared" si="30"/>
        <v>968931561.35392559</v>
      </c>
      <c r="AO8" s="6">
        <f t="shared" si="30"/>
        <v>998053393.10777926</v>
      </c>
      <c r="AP8" s="6">
        <f t="shared" si="30"/>
        <v>1022801005.7644852</v>
      </c>
      <c r="AQ8" s="6">
        <f t="shared" si="30"/>
        <v>1043724038.2540632</v>
      </c>
      <c r="AR8" s="6">
        <f t="shared" si="30"/>
        <v>1061338651.7199858</v>
      </c>
      <c r="AS8" s="6">
        <f t="shared" si="30"/>
        <v>1076115960.9248743</v>
      </c>
      <c r="AT8" s="6">
        <f t="shared" si="30"/>
        <v>1088476983.5560899</v>
      </c>
      <c r="AU8" s="6">
        <f t="shared" si="30"/>
        <v>1098791966.8112192</v>
      </c>
      <c r="AV8" s="6">
        <f t="shared" si="30"/>
        <v>1107382471.9395292</v>
      </c>
      <c r="AW8" s="6">
        <f t="shared" si="30"/>
        <v>1114525047.1043611</v>
      </c>
      <c r="AX8" s="6">
        <f t="shared" si="30"/>
        <v>1120455678.8211272</v>
      </c>
      <c r="AY8" s="6">
        <f t="shared" si="30"/>
        <v>1125374485.4937382</v>
      </c>
      <c r="AZ8" s="6">
        <f t="shared" si="30"/>
        <v>1129450315.7093179</v>
      </c>
      <c r="BA8" s="6">
        <f t="shared" si="30"/>
        <v>1132825054.0040457</v>
      </c>
      <c r="BB8" s="6">
        <f t="shared" si="30"/>
        <v>1135617532.0185153</v>
      </c>
      <c r="BC8" s="6">
        <f t="shared" si="30"/>
        <v>1137927005.3642313</v>
      </c>
      <c r="BD8" s="6">
        <f t="shared" si="30"/>
        <v>1139836195.6608622</v>
      </c>
      <c r="BE8" s="6">
        <f t="shared" si="30"/>
        <v>1141413920.2954414</v>
      </c>
      <c r="BF8" s="6">
        <f t="shared" si="30"/>
        <v>1142717344.7834554</v>
      </c>
      <c r="BG8" s="6">
        <f t="shared" si="30"/>
        <v>1143793897.9413044</v>
      </c>
      <c r="BH8" s="6">
        <f t="shared" si="30"/>
        <v>1144682891.0279694</v>
      </c>
      <c r="BI8" s="6">
        <f t="shared" si="30"/>
        <v>1145416880.3613298</v>
      </c>
      <c r="BJ8" s="6">
        <f t="shared" si="30"/>
        <v>1146022809.8442428</v>
      </c>
      <c r="BK8" s="6">
        <f t="shared" si="30"/>
        <v>1146522966.1121459</v>
      </c>
    </row>
    <row r="9" spans="1:86" s="5" customFormat="1">
      <c r="A9" s="5" t="s">
        <v>27</v>
      </c>
      <c r="B9" s="5">
        <v>475195</v>
      </c>
      <c r="C9" s="5">
        <v>48576</v>
      </c>
      <c r="D9" s="5">
        <f>449899</f>
        <v>449899</v>
      </c>
      <c r="E9" s="5">
        <v>1955886</v>
      </c>
      <c r="F9" s="5">
        <v>661457</v>
      </c>
      <c r="G9" s="5">
        <v>683986</v>
      </c>
      <c r="H9" s="5">
        <v>1047682</v>
      </c>
      <c r="J9" s="5">
        <v>210223</v>
      </c>
      <c r="K9" s="5">
        <v>789198</v>
      </c>
      <c r="L9" s="5">
        <v>662526</v>
      </c>
      <c r="M9" s="5">
        <v>1886861</v>
      </c>
      <c r="N9" s="5">
        <v>104161</v>
      </c>
      <c r="O9" s="5">
        <f>139844</f>
        <v>139844</v>
      </c>
      <c r="P9" s="5">
        <v>527781</v>
      </c>
      <c r="Q9" s="5">
        <f>SUM(B9:E9)</f>
        <v>2929556</v>
      </c>
      <c r="R9" s="5">
        <f>SUM(F9:I9)</f>
        <v>2393125</v>
      </c>
      <c r="S9" s="5">
        <f>SUM(J9:M9)</f>
        <v>3548808</v>
      </c>
      <c r="T9" s="5">
        <f t="shared" ref="T9:T12" si="31">SUM(N9:P9)*1.25</f>
        <v>964732.5</v>
      </c>
      <c r="V9" s="5">
        <f>T9*1.05</f>
        <v>1012969.125</v>
      </c>
      <c r="W9" s="5">
        <f t="shared" ref="W9:BK9" si="32">V9*1.05</f>
        <v>1063617.58125</v>
      </c>
      <c r="X9" s="5">
        <f t="shared" si="32"/>
        <v>1116798.4603125001</v>
      </c>
      <c r="Y9" s="5">
        <f t="shared" si="32"/>
        <v>1172638.3833281251</v>
      </c>
      <c r="Z9" s="5">
        <f t="shared" si="32"/>
        <v>1231270.3024945315</v>
      </c>
      <c r="AA9" s="5">
        <f t="shared" si="32"/>
        <v>1292833.8176192581</v>
      </c>
      <c r="AB9" s="5">
        <f t="shared" si="32"/>
        <v>1357475.508500221</v>
      </c>
      <c r="AC9" s="5">
        <f t="shared" si="32"/>
        <v>1425349.283925232</v>
      </c>
      <c r="AD9" s="5">
        <f t="shared" si="32"/>
        <v>1496616.7481214937</v>
      </c>
      <c r="AE9" s="5">
        <f t="shared" si="32"/>
        <v>1571447.5855275686</v>
      </c>
      <c r="AF9" s="5">
        <f t="shared" si="32"/>
        <v>1650019.9648039471</v>
      </c>
      <c r="AG9" s="5">
        <f t="shared" si="32"/>
        <v>1732520.9630441447</v>
      </c>
      <c r="AH9" s="5">
        <f t="shared" si="32"/>
        <v>1819147.0111963521</v>
      </c>
      <c r="AI9" s="5">
        <f t="shared" si="32"/>
        <v>1910104.3617561697</v>
      </c>
      <c r="AJ9" s="5">
        <f t="shared" si="32"/>
        <v>2005609.5798439782</v>
      </c>
      <c r="AK9" s="5">
        <f t="shared" si="32"/>
        <v>2105890.058836177</v>
      </c>
      <c r="AL9" s="5">
        <f t="shared" si="32"/>
        <v>2211184.5617779861</v>
      </c>
      <c r="AM9" s="5">
        <f t="shared" si="32"/>
        <v>2321743.7898668856</v>
      </c>
      <c r="AN9" s="5">
        <f t="shared" si="32"/>
        <v>2437830.9793602298</v>
      </c>
      <c r="AO9" s="5">
        <f t="shared" si="32"/>
        <v>2559722.5283282413</v>
      </c>
      <c r="AP9" s="5">
        <f t="shared" si="32"/>
        <v>2687708.6547446535</v>
      </c>
      <c r="AQ9" s="5">
        <f t="shared" si="32"/>
        <v>2822094.0874818861</v>
      </c>
      <c r="AR9" s="5">
        <f t="shared" si="32"/>
        <v>2963198.7918559806</v>
      </c>
      <c r="AS9" s="5">
        <f t="shared" si="32"/>
        <v>3111358.7314487798</v>
      </c>
      <c r="AT9" s="5">
        <f t="shared" si="32"/>
        <v>3266926.6680212189</v>
      </c>
      <c r="AU9" s="5">
        <f t="shared" si="32"/>
        <v>3430273.00142228</v>
      </c>
      <c r="AV9" s="5">
        <f t="shared" si="32"/>
        <v>3601786.6514933943</v>
      </c>
      <c r="AW9" s="5">
        <f t="shared" si="32"/>
        <v>3781875.984068064</v>
      </c>
      <c r="AX9" s="5">
        <f t="shared" si="32"/>
        <v>3970969.7832714673</v>
      </c>
      <c r="AY9" s="5">
        <f t="shared" si="32"/>
        <v>4169518.2724350407</v>
      </c>
      <c r="AZ9" s="5">
        <f t="shared" si="32"/>
        <v>4377994.1860567927</v>
      </c>
      <c r="BA9" s="5">
        <f t="shared" si="32"/>
        <v>4596893.8953596326</v>
      </c>
      <c r="BB9" s="5">
        <f t="shared" si="32"/>
        <v>4826738.5901276143</v>
      </c>
      <c r="BC9" s="5">
        <f t="shared" si="32"/>
        <v>5068075.5196339954</v>
      </c>
      <c r="BD9" s="5">
        <f t="shared" si="32"/>
        <v>5321479.2956156954</v>
      </c>
      <c r="BE9" s="5">
        <f t="shared" si="32"/>
        <v>5587553.2603964806</v>
      </c>
      <c r="BF9" s="5">
        <f t="shared" si="32"/>
        <v>5866930.9234163044</v>
      </c>
      <c r="BG9" s="5">
        <f t="shared" si="32"/>
        <v>6160277.4695871202</v>
      </c>
      <c r="BH9" s="5">
        <f t="shared" si="32"/>
        <v>6468291.3430664763</v>
      </c>
      <c r="BI9" s="5">
        <f t="shared" si="32"/>
        <v>6791705.9102198007</v>
      </c>
      <c r="BJ9" s="5">
        <f t="shared" si="32"/>
        <v>7131291.2057307912</v>
      </c>
      <c r="BK9" s="5">
        <f t="shared" si="32"/>
        <v>7487855.7660173308</v>
      </c>
    </row>
    <row r="10" spans="1:86" s="5" customFormat="1">
      <c r="A10" s="5" t="s">
        <v>28</v>
      </c>
      <c r="B10" s="5">
        <v>428601</v>
      </c>
      <c r="C10" s="5">
        <v>424432</v>
      </c>
      <c r="D10" s="5">
        <v>550856</v>
      </c>
      <c r="E10" s="5">
        <v>2722486</v>
      </c>
      <c r="F10" s="5">
        <v>756465</v>
      </c>
      <c r="G10" s="5">
        <v>825160</v>
      </c>
      <c r="H10" s="5">
        <v>1067472</v>
      </c>
      <c r="J10" s="5">
        <v>1498052</v>
      </c>
      <c r="K10" s="5">
        <v>1213241</v>
      </c>
      <c r="L10" s="5">
        <v>1464357</v>
      </c>
      <c r="M10" s="5">
        <v>5313419</v>
      </c>
      <c r="N10" s="5">
        <v>1520759</v>
      </c>
      <c r="O10" s="5">
        <v>1297985</v>
      </c>
      <c r="P10" s="5">
        <v>2006167</v>
      </c>
      <c r="Q10" s="5">
        <f>SUM(B10:E10)</f>
        <v>4126375</v>
      </c>
      <c r="R10" s="5">
        <f>SUM(F10:I10)</f>
        <v>2649097</v>
      </c>
      <c r="S10" s="5">
        <f t="shared" ref="S9:S12" si="33">SUM(J10:M10)</f>
        <v>9489069</v>
      </c>
      <c r="T10" s="5">
        <f t="shared" si="31"/>
        <v>6031138.75</v>
      </c>
      <c r="V10" s="5">
        <f>T10*1.05</f>
        <v>6332695.6875</v>
      </c>
      <c r="W10" s="5">
        <f t="shared" ref="W10:BK10" si="34">V10*1.05</f>
        <v>6649330.4718750007</v>
      </c>
      <c r="X10" s="5">
        <f t="shared" si="34"/>
        <v>6981796.9954687515</v>
      </c>
      <c r="Y10" s="5">
        <f t="shared" si="34"/>
        <v>7330886.8452421892</v>
      </c>
      <c r="Z10" s="5">
        <f t="shared" si="34"/>
        <v>7697431.187504299</v>
      </c>
      <c r="AA10" s="5">
        <f t="shared" si="34"/>
        <v>8082302.7468795143</v>
      </c>
      <c r="AB10" s="5">
        <f t="shared" si="34"/>
        <v>8486417.884223491</v>
      </c>
      <c r="AC10" s="5">
        <f t="shared" si="34"/>
        <v>8910738.7784346659</v>
      </c>
      <c r="AD10" s="5">
        <f t="shared" si="34"/>
        <v>9356275.7173563987</v>
      </c>
      <c r="AE10" s="5">
        <f t="shared" si="34"/>
        <v>9824089.5032242183</v>
      </c>
      <c r="AF10" s="5">
        <f t="shared" si="34"/>
        <v>10315293.97838543</v>
      </c>
      <c r="AG10" s="5">
        <f t="shared" si="34"/>
        <v>10831058.677304702</v>
      </c>
      <c r="AH10" s="5">
        <f t="shared" si="34"/>
        <v>11372611.611169938</v>
      </c>
      <c r="AI10" s="5">
        <f t="shared" si="34"/>
        <v>11941242.191728435</v>
      </c>
      <c r="AJ10" s="5">
        <f t="shared" si="34"/>
        <v>12538304.301314857</v>
      </c>
      <c r="AK10" s="5">
        <f t="shared" si="34"/>
        <v>13165219.516380601</v>
      </c>
      <c r="AL10" s="5">
        <f t="shared" si="34"/>
        <v>13823480.492199631</v>
      </c>
      <c r="AM10" s="5">
        <f t="shared" si="34"/>
        <v>14514654.516809614</v>
      </c>
      <c r="AN10" s="5">
        <f t="shared" si="34"/>
        <v>15240387.242650095</v>
      </c>
      <c r="AO10" s="5">
        <f t="shared" si="34"/>
        <v>16002406.6047826</v>
      </c>
      <c r="AP10" s="5">
        <f t="shared" si="34"/>
        <v>16802526.935021732</v>
      </c>
      <c r="AQ10" s="5">
        <f t="shared" si="34"/>
        <v>17642653.281772818</v>
      </c>
      <c r="AR10" s="5">
        <f t="shared" si="34"/>
        <v>18524785.945861459</v>
      </c>
      <c r="AS10" s="5">
        <f t="shared" si="34"/>
        <v>19451025.243154533</v>
      </c>
      <c r="AT10" s="5">
        <f t="shared" si="34"/>
        <v>20423576.50531226</v>
      </c>
      <c r="AU10" s="5">
        <f t="shared" si="34"/>
        <v>21444755.330577873</v>
      </c>
      <c r="AV10" s="5">
        <f t="shared" si="34"/>
        <v>22516993.097106766</v>
      </c>
      <c r="AW10" s="5">
        <f t="shared" si="34"/>
        <v>23642842.751962107</v>
      </c>
      <c r="AX10" s="5">
        <f t="shared" si="34"/>
        <v>24824984.889560211</v>
      </c>
      <c r="AY10" s="5">
        <f t="shared" si="34"/>
        <v>26066234.134038225</v>
      </c>
      <c r="AZ10" s="5">
        <f t="shared" si="34"/>
        <v>27369545.840740137</v>
      </c>
      <c r="BA10" s="5">
        <f t="shared" si="34"/>
        <v>28738023.132777143</v>
      </c>
      <c r="BB10" s="5">
        <f t="shared" si="34"/>
        <v>30174924.289416</v>
      </c>
      <c r="BC10" s="5">
        <f t="shared" si="34"/>
        <v>31683670.5038868</v>
      </c>
      <c r="BD10" s="5">
        <f t="shared" si="34"/>
        <v>33267854.029081143</v>
      </c>
      <c r="BE10" s="5">
        <f t="shared" si="34"/>
        <v>34931246.730535202</v>
      </c>
      <c r="BF10" s="5">
        <f t="shared" si="34"/>
        <v>36677809.067061961</v>
      </c>
      <c r="BG10" s="5">
        <f t="shared" si="34"/>
        <v>38511699.52041506</v>
      </c>
      <c r="BH10" s="5">
        <f t="shared" si="34"/>
        <v>40437284.496435814</v>
      </c>
      <c r="BI10" s="5">
        <f t="shared" si="34"/>
        <v>42459148.721257605</v>
      </c>
      <c r="BJ10" s="5">
        <f t="shared" si="34"/>
        <v>44582106.157320485</v>
      </c>
      <c r="BK10" s="5">
        <f t="shared" si="34"/>
        <v>46811211.465186514</v>
      </c>
    </row>
    <row r="11" spans="1:86" s="5" customFormat="1">
      <c r="A11" s="5" t="s">
        <v>29</v>
      </c>
      <c r="B11" s="5">
        <f>39000+830123</f>
        <v>869123</v>
      </c>
      <c r="C11" s="5">
        <f>73600+862005</f>
        <v>935605</v>
      </c>
      <c r="D11" s="5">
        <f>18100</f>
        <v>18100</v>
      </c>
      <c r="E11" s="5">
        <f>275600</f>
        <v>275600</v>
      </c>
      <c r="F11" s="5">
        <f>26100</f>
        <v>26100</v>
      </c>
      <c r="G11" s="5">
        <f>85300</f>
        <v>85300</v>
      </c>
      <c r="H11" s="5">
        <f>90100</f>
        <v>90100</v>
      </c>
      <c r="J11" s="5">
        <f>74800</f>
        <v>74800</v>
      </c>
      <c r="K11" s="5">
        <f>483825+8200</f>
        <v>492025</v>
      </c>
      <c r="L11" s="5">
        <f>458144+999469</f>
        <v>1457613</v>
      </c>
      <c r="M11" s="5">
        <f>1680392+1370745</f>
        <v>3051137</v>
      </c>
      <c r="N11" s="5">
        <f>257819+235358</f>
        <v>493177</v>
      </c>
      <c r="O11" s="5">
        <f>251228+220420</f>
        <v>471648</v>
      </c>
      <c r="P11" s="5">
        <f>262202+412319</f>
        <v>674521</v>
      </c>
      <c r="Q11" s="5">
        <f>SUM(B11:E11)</f>
        <v>2098428</v>
      </c>
      <c r="R11" s="5">
        <f>SUM(F11:I11)</f>
        <v>201500</v>
      </c>
      <c r="S11" s="5">
        <f t="shared" si="33"/>
        <v>5075575</v>
      </c>
      <c r="T11" s="5">
        <f t="shared" si="31"/>
        <v>2049182.5</v>
      </c>
      <c r="V11" s="5">
        <f>T11*1.05</f>
        <v>2151641.625</v>
      </c>
      <c r="W11" s="5">
        <f t="shared" ref="W11:BK11" si="35">V11*1.05</f>
        <v>2259223.7062500003</v>
      </c>
      <c r="X11" s="5">
        <f t="shared" si="35"/>
        <v>2372184.8915625005</v>
      </c>
      <c r="Y11" s="5">
        <f t="shared" si="35"/>
        <v>2490794.1361406255</v>
      </c>
      <c r="Z11" s="5">
        <f t="shared" si="35"/>
        <v>2615333.8429476568</v>
      </c>
      <c r="AA11" s="5">
        <f t="shared" si="35"/>
        <v>2746100.5350950398</v>
      </c>
      <c r="AB11" s="5">
        <f t="shared" si="35"/>
        <v>2883405.561849792</v>
      </c>
      <c r="AC11" s="5">
        <f t="shared" si="35"/>
        <v>3027575.8399422816</v>
      </c>
      <c r="AD11" s="5">
        <f t="shared" si="35"/>
        <v>3178954.6319393958</v>
      </c>
      <c r="AE11" s="5">
        <f t="shared" si="35"/>
        <v>3337902.3635363658</v>
      </c>
      <c r="AF11" s="5">
        <f t="shared" si="35"/>
        <v>3504797.4817131842</v>
      </c>
      <c r="AG11" s="5">
        <f t="shared" si="35"/>
        <v>3680037.3557988433</v>
      </c>
      <c r="AH11" s="5">
        <f t="shared" si="35"/>
        <v>3864039.2235887856</v>
      </c>
      <c r="AI11" s="5">
        <f t="shared" si="35"/>
        <v>4057241.1847682251</v>
      </c>
      <c r="AJ11" s="5">
        <f t="shared" si="35"/>
        <v>4260103.2440066366</v>
      </c>
      <c r="AK11" s="5">
        <f t="shared" si="35"/>
        <v>4473108.4062069682</v>
      </c>
      <c r="AL11" s="5">
        <f t="shared" si="35"/>
        <v>4696763.8265173165</v>
      </c>
      <c r="AM11" s="5">
        <f t="shared" si="35"/>
        <v>4931602.0178431822</v>
      </c>
      <c r="AN11" s="5">
        <f t="shared" si="35"/>
        <v>5178182.1187353414</v>
      </c>
      <c r="AO11" s="5">
        <f t="shared" si="35"/>
        <v>5437091.2246721089</v>
      </c>
      <c r="AP11" s="5">
        <f t="shared" si="35"/>
        <v>5708945.7859057141</v>
      </c>
      <c r="AQ11" s="5">
        <f t="shared" si="35"/>
        <v>5994393.0752010001</v>
      </c>
      <c r="AR11" s="5">
        <f t="shared" si="35"/>
        <v>6294112.7289610505</v>
      </c>
      <c r="AS11" s="5">
        <f t="shared" si="35"/>
        <v>6608818.3654091032</v>
      </c>
      <c r="AT11" s="5">
        <f t="shared" si="35"/>
        <v>6939259.2836795589</v>
      </c>
      <c r="AU11" s="5">
        <f t="shared" si="35"/>
        <v>7286222.2478635367</v>
      </c>
      <c r="AV11" s="5">
        <f t="shared" si="35"/>
        <v>7650533.3602567138</v>
      </c>
      <c r="AW11" s="5">
        <f t="shared" si="35"/>
        <v>8033060.0282695498</v>
      </c>
      <c r="AX11" s="5">
        <f t="shared" si="35"/>
        <v>8434713.0296830274</v>
      </c>
      <c r="AY11" s="5">
        <f t="shared" si="35"/>
        <v>8856448.6811671797</v>
      </c>
      <c r="AZ11" s="5">
        <f t="shared" si="35"/>
        <v>9299271.1152255386</v>
      </c>
      <c r="BA11" s="5">
        <f t="shared" si="35"/>
        <v>9764234.6709868163</v>
      </c>
      <c r="BB11" s="5">
        <f t="shared" si="35"/>
        <v>10252446.404536158</v>
      </c>
      <c r="BC11" s="5">
        <f t="shared" si="35"/>
        <v>10765068.724762967</v>
      </c>
      <c r="BD11" s="5">
        <f t="shared" si="35"/>
        <v>11303322.161001116</v>
      </c>
      <c r="BE11" s="5">
        <f t="shared" si="35"/>
        <v>11868488.269051172</v>
      </c>
      <c r="BF11" s="5">
        <f t="shared" si="35"/>
        <v>12461912.68250373</v>
      </c>
      <c r="BG11" s="5">
        <f t="shared" si="35"/>
        <v>13085008.316628916</v>
      </c>
      <c r="BH11" s="5">
        <f t="shared" si="35"/>
        <v>13739258.732460363</v>
      </c>
      <c r="BI11" s="5">
        <f t="shared" si="35"/>
        <v>14426221.669083381</v>
      </c>
      <c r="BJ11" s="5">
        <f t="shared" si="35"/>
        <v>15147532.75253755</v>
      </c>
      <c r="BK11" s="5">
        <f t="shared" si="35"/>
        <v>15904909.390164429</v>
      </c>
    </row>
    <row r="12" spans="1:86" s="5" customFormat="1">
      <c r="A12" s="5" t="s">
        <v>30</v>
      </c>
      <c r="B12" s="5">
        <v>284674</v>
      </c>
      <c r="C12" s="5">
        <f>253041+96174</f>
        <v>349215</v>
      </c>
      <c r="E12" s="5">
        <v>350257</v>
      </c>
      <c r="F12" s="5">
        <v>320807</v>
      </c>
      <c r="G12" s="5">
        <v>0</v>
      </c>
      <c r="J12" s="5">
        <f>338219</f>
        <v>338219</v>
      </c>
      <c r="M12" s="5">
        <f>338219</f>
        <v>338219</v>
      </c>
      <c r="O12" s="5">
        <v>650138</v>
      </c>
      <c r="Q12" s="5">
        <f>SUM(B12:E12)</f>
        <v>984146</v>
      </c>
      <c r="R12" s="5">
        <f>SUM(F12:I12)</f>
        <v>320807</v>
      </c>
      <c r="S12" s="5">
        <f t="shared" si="33"/>
        <v>676438</v>
      </c>
      <c r="T12" s="5">
        <f t="shared" si="31"/>
        <v>812672.5</v>
      </c>
      <c r="V12" s="5">
        <f>T12*0.85</f>
        <v>690771.625</v>
      </c>
      <c r="W12" s="5">
        <f t="shared" ref="W12:BK12" si="36">V12*0.85</f>
        <v>587155.88124999998</v>
      </c>
      <c r="X12" s="5">
        <f t="shared" si="36"/>
        <v>499082.49906249996</v>
      </c>
      <c r="Y12" s="5">
        <f t="shared" si="36"/>
        <v>424220.12420312496</v>
      </c>
      <c r="Z12" s="5">
        <f t="shared" si="36"/>
        <v>360587.1055726562</v>
      </c>
      <c r="AA12" s="5">
        <f t="shared" si="36"/>
        <v>306499.03973675775</v>
      </c>
      <c r="AB12" s="5">
        <f t="shared" si="36"/>
        <v>260524.18377624408</v>
      </c>
      <c r="AC12" s="5">
        <f t="shared" si="36"/>
        <v>221445.55620980746</v>
      </c>
      <c r="AD12" s="5">
        <f t="shared" si="36"/>
        <v>188228.72277833635</v>
      </c>
      <c r="AE12" s="5">
        <f t="shared" si="36"/>
        <v>159994.41436158589</v>
      </c>
      <c r="AF12" s="5">
        <f t="shared" si="36"/>
        <v>135995.25220734801</v>
      </c>
      <c r="AG12" s="5">
        <f t="shared" si="36"/>
        <v>115595.9643762458</v>
      </c>
      <c r="AH12" s="5">
        <f t="shared" si="36"/>
        <v>98256.569719808933</v>
      </c>
      <c r="AI12" s="5">
        <f t="shared" si="36"/>
        <v>83518.08426183759</v>
      </c>
      <c r="AJ12" s="5">
        <f t="shared" si="36"/>
        <v>70990.371622561943</v>
      </c>
      <c r="AK12" s="5">
        <f t="shared" si="36"/>
        <v>60341.815879177651</v>
      </c>
      <c r="AL12" s="5">
        <f t="shared" si="36"/>
        <v>51290.543497301005</v>
      </c>
      <c r="AM12" s="5">
        <f t="shared" si="36"/>
        <v>43596.961972705853</v>
      </c>
      <c r="AN12" s="5">
        <f t="shared" si="36"/>
        <v>37057.417676799974</v>
      </c>
      <c r="AO12" s="5">
        <f t="shared" si="36"/>
        <v>31498.805025279977</v>
      </c>
      <c r="AP12" s="5">
        <f t="shared" si="36"/>
        <v>26773.984271487978</v>
      </c>
      <c r="AQ12" s="5">
        <f t="shared" si="36"/>
        <v>22757.88663076478</v>
      </c>
      <c r="AR12" s="5">
        <f t="shared" si="36"/>
        <v>19344.203636150061</v>
      </c>
      <c r="AS12" s="5">
        <f t="shared" si="36"/>
        <v>16442.57309072755</v>
      </c>
      <c r="AT12" s="5">
        <f t="shared" si="36"/>
        <v>13976.187127118417</v>
      </c>
      <c r="AU12" s="5">
        <f t="shared" si="36"/>
        <v>11879.759058050655</v>
      </c>
      <c r="AV12" s="5">
        <f t="shared" si="36"/>
        <v>10097.795199343056</v>
      </c>
      <c r="AW12" s="5">
        <f t="shared" si="36"/>
        <v>8583.1259194415979</v>
      </c>
      <c r="AX12" s="5">
        <f t="shared" si="36"/>
        <v>7295.6570315253584</v>
      </c>
      <c r="AY12" s="5">
        <f t="shared" si="36"/>
        <v>6201.3084767965547</v>
      </c>
      <c r="AZ12" s="5">
        <f t="shared" si="36"/>
        <v>5271.1122052770716</v>
      </c>
      <c r="BA12" s="5">
        <f t="shared" si="36"/>
        <v>4480.4453744855109</v>
      </c>
      <c r="BB12" s="5">
        <f t="shared" si="36"/>
        <v>3808.3785683126844</v>
      </c>
      <c r="BC12" s="5">
        <f t="shared" si="36"/>
        <v>3237.1217830657815</v>
      </c>
      <c r="BD12" s="5">
        <f t="shared" si="36"/>
        <v>2751.5535156059141</v>
      </c>
      <c r="BE12" s="5">
        <f t="shared" si="36"/>
        <v>2338.8204882650271</v>
      </c>
      <c r="BF12" s="5">
        <f t="shared" si="36"/>
        <v>1987.9974150252729</v>
      </c>
      <c r="BG12" s="5">
        <f t="shared" si="36"/>
        <v>1689.7978027714819</v>
      </c>
      <c r="BH12" s="5">
        <f t="shared" si="36"/>
        <v>1436.3281323557596</v>
      </c>
      <c r="BI12" s="5">
        <f t="shared" si="36"/>
        <v>1220.8789125023957</v>
      </c>
      <c r="BJ12" s="5">
        <f t="shared" si="36"/>
        <v>1037.7470756270363</v>
      </c>
      <c r="BK12" s="5">
        <f t="shared" si="36"/>
        <v>882.08501428298086</v>
      </c>
    </row>
    <row r="13" spans="1:86" s="6" customFormat="1">
      <c r="A13" s="6" t="s">
        <v>31</v>
      </c>
      <c r="B13" s="6">
        <f>B8-B9-B10-B11+B12</f>
        <v>-1411114</v>
      </c>
      <c r="C13" s="6">
        <f>C8-C9-C10-C11+C12</f>
        <v>-1079675</v>
      </c>
      <c r="D13" s="6">
        <f>D8-D9-D10-D11+D12</f>
        <v>147115</v>
      </c>
      <c r="E13" s="6">
        <f>E8-E9-E10-E11+E12</f>
        <v>-3006573</v>
      </c>
      <c r="F13" s="6">
        <f>F8-F9-F10-F11+F12</f>
        <v>-1357362</v>
      </c>
      <c r="G13" s="6">
        <f>G8-G9-G10-G11+G12</f>
        <v>715459</v>
      </c>
      <c r="H13" s="6">
        <f>H8-H9-H10-H11+H12</f>
        <v>-2150421</v>
      </c>
      <c r="I13" s="6">
        <f>I8-I9-I10-I11+I12</f>
        <v>0</v>
      </c>
      <c r="J13" s="6">
        <f>J8-J9-J10-J11+J12</f>
        <v>-856099</v>
      </c>
      <c r="K13" s="6">
        <f>K8-K9-K10-K11+K12</f>
        <v>-1865806</v>
      </c>
      <c r="L13" s="6">
        <f>L8-L9-L10-L11+L12</f>
        <v>-469237</v>
      </c>
      <c r="M13" s="6">
        <f>M8-M9-M10-M11+M12</f>
        <v>-3208728</v>
      </c>
      <c r="N13" s="6">
        <f>N8-N9-N10-N11+N12</f>
        <v>799876</v>
      </c>
      <c r="O13" s="6">
        <f>O8-O9-O10-O11+O12</f>
        <v>-116709</v>
      </c>
      <c r="P13" s="6">
        <f>P8-P9-P10-P11+P12</f>
        <v>-2404783</v>
      </c>
      <c r="Q13" s="6">
        <f>Q8-Q9-Q10-Q11+Q12</f>
        <v>-5350247</v>
      </c>
      <c r="R13" s="6">
        <f>R8-R9-R10-R11+R12</f>
        <v>-2792324</v>
      </c>
      <c r="S13" s="6">
        <f>S8-S9-S10-S11+S12</f>
        <v>-6399870</v>
      </c>
      <c r="T13" s="6">
        <f>T8-T9-T10-T11+T12</f>
        <v>-2152020</v>
      </c>
      <c r="V13" s="6">
        <f>V8-V9-V10-V11+V12</f>
        <v>4340742.7126381025</v>
      </c>
      <c r="W13" s="6">
        <f t="shared" ref="W13:BK13" si="37">W8-W9-W10-W11+W12</f>
        <v>16368640.149742449</v>
      </c>
      <c r="X13" s="6">
        <f t="shared" si="37"/>
        <v>36154600.078556985</v>
      </c>
      <c r="Y13" s="6">
        <f t="shared" si="37"/>
        <v>65659283.962331325</v>
      </c>
      <c r="Z13" s="6">
        <f t="shared" si="37"/>
        <v>106088903.39347471</v>
      </c>
      <c r="AA13" s="6">
        <f t="shared" si="37"/>
        <v>157549002.83715785</v>
      </c>
      <c r="AB13" s="6">
        <f t="shared" si="37"/>
        <v>218961670.70814347</v>
      </c>
      <c r="AC13" s="6">
        <f t="shared" si="37"/>
        <v>288253499.17203903</v>
      </c>
      <c r="AD13" s="6">
        <f t="shared" si="37"/>
        <v>362726370.80747253</v>
      </c>
      <c r="AE13" s="6">
        <f t="shared" si="37"/>
        <v>439484072.14497507</v>
      </c>
      <c r="AF13" s="6">
        <f t="shared" si="37"/>
        <v>515805036.18990988</v>
      </c>
      <c r="AG13" s="6">
        <f t="shared" si="37"/>
        <v>589399033.9175297</v>
      </c>
      <c r="AH13" s="6">
        <f t="shared" si="37"/>
        <v>658534619.96559143</v>
      </c>
      <c r="AI13" s="6">
        <f t="shared" si="37"/>
        <v>722057652.49123359</v>
      </c>
      <c r="AJ13" s="6">
        <f t="shared" si="37"/>
        <v>779335725.70788205</v>
      </c>
      <c r="AK13" s="6">
        <f t="shared" si="37"/>
        <v>830163451.83101094</v>
      </c>
      <c r="AL13" s="6">
        <f t="shared" si="37"/>
        <v>874656007.81273246</v>
      </c>
      <c r="AM13" s="6">
        <f t="shared" si="37"/>
        <v>913148751.35576904</v>
      </c>
      <c r="AN13" s="6">
        <f t="shared" si="37"/>
        <v>946112218.4308567</v>
      </c>
      <c r="AO13" s="6">
        <f t="shared" si="37"/>
        <v>974085671.55502164</v>
      </c>
      <c r="AP13" s="6">
        <f t="shared" si="37"/>
        <v>997628598.37308466</v>
      </c>
      <c r="AQ13" s="6">
        <f t="shared" si="37"/>
        <v>1017287655.6962383</v>
      </c>
      <c r="AR13" s="6">
        <f t="shared" si="37"/>
        <v>1033575898.4569435</v>
      </c>
      <c r="AS13" s="6">
        <f t="shared" si="37"/>
        <v>1046961201.1579525</v>
      </c>
      <c r="AT13" s="6">
        <f t="shared" si="37"/>
        <v>1057861197.286204</v>
      </c>
      <c r="AU13" s="6">
        <f t="shared" si="37"/>
        <v>1066642595.9904137</v>
      </c>
      <c r="AV13" s="6">
        <f>AV8-AV9-AV10-AV11+AV12</f>
        <v>1073623256.6258719</v>
      </c>
      <c r="AW13" s="6">
        <f t="shared" si="37"/>
        <v>1079075851.4659805</v>
      </c>
      <c r="AX13" s="6">
        <f t="shared" si="37"/>
        <v>1083232306.7756438</v>
      </c>
      <c r="AY13" s="6">
        <f t="shared" si="37"/>
        <v>1086288485.7145746</v>
      </c>
      <c r="AZ13" s="6">
        <f t="shared" si="37"/>
        <v>1088408775.6795006</v>
      </c>
      <c r="BA13" s="6">
        <f t="shared" si="37"/>
        <v>1089730382.7502966</v>
      </c>
      <c r="BB13" s="6">
        <f t="shared" si="37"/>
        <v>1090367231.1130037</v>
      </c>
      <c r="BC13" s="6">
        <f t="shared" si="37"/>
        <v>1090413427.7377307</v>
      </c>
      <c r="BD13" s="6">
        <f t="shared" si="37"/>
        <v>1089946291.7286799</v>
      </c>
      <c r="BE13" s="6">
        <f t="shared" si="37"/>
        <v>1089028970.8559468</v>
      </c>
      <c r="BF13" s="6">
        <f t="shared" si="37"/>
        <v>1087712680.1078885</v>
      </c>
      <c r="BG13" s="6">
        <f t="shared" si="37"/>
        <v>1086038602.432476</v>
      </c>
      <c r="BH13" s="6">
        <f t="shared" si="37"/>
        <v>1084039492.7841392</v>
      </c>
      <c r="BI13" s="6">
        <f t="shared" si="37"/>
        <v>1081741024.9396813</v>
      </c>
      <c r="BJ13" s="6">
        <f t="shared" si="37"/>
        <v>1079162917.4757297</v>
      </c>
      <c r="BK13" s="6">
        <f t="shared" si="37"/>
        <v>1076319871.5757918</v>
      </c>
    </row>
    <row r="14" spans="1:86" s="5" customFormat="1">
      <c r="A14" s="5" t="s">
        <v>32</v>
      </c>
      <c r="B14" s="5">
        <v>2088</v>
      </c>
      <c r="C14" s="5">
        <f>811</f>
        <v>811</v>
      </c>
      <c r="D14" s="5">
        <v>12140</v>
      </c>
      <c r="E14" s="5">
        <v>31625</v>
      </c>
      <c r="F14" s="5">
        <v>20722</v>
      </c>
      <c r="G14" s="5">
        <v>14628</v>
      </c>
      <c r="H14" s="5">
        <v>7548</v>
      </c>
      <c r="J14" s="5">
        <v>2223</v>
      </c>
      <c r="K14" s="5">
        <v>45469</v>
      </c>
      <c r="L14" s="5">
        <v>46868</v>
      </c>
      <c r="M14" s="5">
        <f>183073</f>
        <v>183073</v>
      </c>
      <c r="N14" s="5">
        <v>43926</v>
      </c>
      <c r="O14" s="5">
        <v>56180</v>
      </c>
      <c r="P14" s="5">
        <v>106187</v>
      </c>
      <c r="Q14" s="5">
        <f t="shared" ref="Q14:Q15" si="38">SUM(B14:E14)</f>
        <v>46664</v>
      </c>
      <c r="R14" s="5">
        <f>SUM(F14:I14)</f>
        <v>42898</v>
      </c>
      <c r="S14" s="5">
        <f>SUM(J14:M14)</f>
        <v>277633</v>
      </c>
      <c r="T14" s="5">
        <f>SUM(N14:P14)*1.25</f>
        <v>257866.25</v>
      </c>
      <c r="V14" s="5">
        <f>T14*1.15</f>
        <v>296546.1875</v>
      </c>
      <c r="W14" s="5">
        <f t="shared" ref="W14:BK14" si="39">V14*1.15</f>
        <v>341028.11562499998</v>
      </c>
      <c r="X14" s="5">
        <f t="shared" si="39"/>
        <v>392182.33296874992</v>
      </c>
      <c r="Y14" s="5">
        <f t="shared" si="39"/>
        <v>451009.6829140624</v>
      </c>
      <c r="Z14" s="5">
        <f t="shared" si="39"/>
        <v>518661.13535117172</v>
      </c>
      <c r="AA14" s="5">
        <f t="shared" si="39"/>
        <v>596460.3056538474</v>
      </c>
      <c r="AB14" s="5">
        <f t="shared" si="39"/>
        <v>685929.35150192445</v>
      </c>
      <c r="AC14" s="5">
        <f t="shared" si="39"/>
        <v>788818.7542272131</v>
      </c>
      <c r="AD14" s="5">
        <f t="shared" si="39"/>
        <v>907141.56736129499</v>
      </c>
      <c r="AE14" s="5">
        <f t="shared" si="39"/>
        <v>1043212.8024654891</v>
      </c>
      <c r="AF14" s="5">
        <f t="shared" si="39"/>
        <v>1199694.7228353124</v>
      </c>
      <c r="AG14" s="5">
        <f t="shared" si="39"/>
        <v>1379648.9312606091</v>
      </c>
      <c r="AH14" s="5">
        <f t="shared" si="39"/>
        <v>1586596.2709497004</v>
      </c>
      <c r="AI14" s="5">
        <f t="shared" si="39"/>
        <v>1824585.7115921553</v>
      </c>
      <c r="AJ14" s="5">
        <f t="shared" si="39"/>
        <v>2098273.5683309785</v>
      </c>
      <c r="AK14" s="5">
        <f t="shared" si="39"/>
        <v>2413014.6035806253</v>
      </c>
      <c r="AL14" s="5">
        <f t="shared" si="39"/>
        <v>2774966.7941177189</v>
      </c>
      <c r="AM14" s="5">
        <f t="shared" si="39"/>
        <v>3191211.8132353765</v>
      </c>
      <c r="AN14" s="5">
        <f t="shared" si="39"/>
        <v>3669893.5852206829</v>
      </c>
      <c r="AO14" s="5">
        <f t="shared" si="39"/>
        <v>4220377.6230037846</v>
      </c>
      <c r="AP14" s="5">
        <f t="shared" si="39"/>
        <v>4853434.2664543521</v>
      </c>
      <c r="AQ14" s="5">
        <f t="shared" si="39"/>
        <v>5581449.4064225042</v>
      </c>
      <c r="AR14" s="5">
        <f t="shared" si="39"/>
        <v>6418666.8173858793</v>
      </c>
      <c r="AS14" s="5">
        <f t="shared" si="39"/>
        <v>7381466.8399937609</v>
      </c>
      <c r="AT14" s="5">
        <f t="shared" si="39"/>
        <v>8488686.8659928236</v>
      </c>
      <c r="AU14" s="5">
        <f t="shared" si="39"/>
        <v>9761989.8958917465</v>
      </c>
      <c r="AV14" s="5">
        <f t="shared" si="39"/>
        <v>11226288.380275508</v>
      </c>
      <c r="AW14" s="5">
        <f t="shared" si="39"/>
        <v>12910231.637316834</v>
      </c>
      <c r="AX14" s="5">
        <f t="shared" si="39"/>
        <v>14846766.382914359</v>
      </c>
      <c r="AY14" s="5">
        <f t="shared" si="39"/>
        <v>17073781.340351511</v>
      </c>
      <c r="AZ14" s="5">
        <f t="shared" si="39"/>
        <v>19634848.541404236</v>
      </c>
      <c r="BA14" s="5">
        <f t="shared" si="39"/>
        <v>22580075.822614871</v>
      </c>
      <c r="BB14" s="5">
        <f t="shared" si="39"/>
        <v>25967087.196007099</v>
      </c>
      <c r="BC14" s="5">
        <f t="shared" si="39"/>
        <v>29862150.27540816</v>
      </c>
      <c r="BD14" s="5">
        <f t="shared" si="39"/>
        <v>34341472.816719383</v>
      </c>
      <c r="BE14" s="5">
        <f t="shared" si="39"/>
        <v>39492693.739227287</v>
      </c>
      <c r="BF14" s="5">
        <f t="shared" si="39"/>
        <v>45416597.800111376</v>
      </c>
      <c r="BG14" s="5">
        <f t="shared" si="39"/>
        <v>52229087.470128082</v>
      </c>
      <c r="BH14" s="5">
        <f t="shared" si="39"/>
        <v>60063450.590647288</v>
      </c>
      <c r="BI14" s="5">
        <f t="shared" si="39"/>
        <v>69072968.179244369</v>
      </c>
      <c r="BJ14" s="5">
        <f t="shared" si="39"/>
        <v>79433913.406131014</v>
      </c>
      <c r="BK14" s="5">
        <f t="shared" si="39"/>
        <v>91349000.41705066</v>
      </c>
    </row>
    <row r="15" spans="1:86" s="5" customFormat="1">
      <c r="A15" s="5" t="s">
        <v>33</v>
      </c>
      <c r="B15" s="5">
        <f>1498+380178+313622</f>
        <v>695298</v>
      </c>
      <c r="C15" s="5">
        <f>-49178+327384+(-313622)</f>
        <v>-35416</v>
      </c>
      <c r="D15" s="5">
        <f>-25264</f>
        <v>-25264</v>
      </c>
      <c r="E15" s="5">
        <f>707562+(-66593)</f>
        <v>640969</v>
      </c>
      <c r="F15" s="5">
        <f>-78843</f>
        <v>-78843</v>
      </c>
      <c r="G15" s="5">
        <f>-62390</f>
        <v>-62390</v>
      </c>
      <c r="H15" s="5">
        <f>16228+677593+(-2221)</f>
        <v>691600</v>
      </c>
      <c r="J15" s="5">
        <f>-4128</f>
        <v>-4128</v>
      </c>
      <c r="K15" s="5">
        <f>-77639</f>
        <v>-77639</v>
      </c>
      <c r="L15" s="5">
        <f>34634+576713</f>
        <v>611347</v>
      </c>
      <c r="M15" s="5">
        <f>-57281+576425+-174996</f>
        <v>344148</v>
      </c>
      <c r="N15" s="5">
        <f>-28013</f>
        <v>-28013</v>
      </c>
      <c r="O15" s="5">
        <f>44165</f>
        <v>44165</v>
      </c>
      <c r="P15" s="5">
        <f>-139771+-19360</f>
        <v>-159131</v>
      </c>
      <c r="Q15" s="5">
        <f>SUM(B15:E15)</f>
        <v>1275587</v>
      </c>
      <c r="R15" s="5">
        <f>SUM(F15:I15)</f>
        <v>550367</v>
      </c>
      <c r="S15" s="5">
        <f>SUM(J15:M15)</f>
        <v>873728</v>
      </c>
      <c r="T15" s="5">
        <f>SUM(N15:P15)*1.25</f>
        <v>-178723.75</v>
      </c>
      <c r="V15" s="5">
        <f>T15*1.02</f>
        <v>-182298.22500000001</v>
      </c>
      <c r="W15" s="5">
        <f>V15*1.02</f>
        <v>-185944.18950000001</v>
      </c>
      <c r="X15" s="5">
        <f t="shared" ref="W15:BK15" si="40">W15*1.02</f>
        <v>-189663.07329</v>
      </c>
      <c r="Y15" s="5">
        <f t="shared" si="40"/>
        <v>-193456.3347558</v>
      </c>
      <c r="Z15" s="5">
        <f t="shared" si="40"/>
        <v>-197325.46145091599</v>
      </c>
      <c r="AA15" s="5">
        <f t="shared" si="40"/>
        <v>-201271.97067993431</v>
      </c>
      <c r="AB15" s="5">
        <f t="shared" si="40"/>
        <v>-205297.41009353299</v>
      </c>
      <c r="AC15" s="5">
        <f t="shared" si="40"/>
        <v>-209403.35829540365</v>
      </c>
      <c r="AD15" s="5">
        <f t="shared" si="40"/>
        <v>-213591.42546131174</v>
      </c>
      <c r="AE15" s="5">
        <f t="shared" si="40"/>
        <v>-217863.25397053797</v>
      </c>
      <c r="AF15" s="5">
        <f t="shared" si="40"/>
        <v>-222220.51904994875</v>
      </c>
      <c r="AG15" s="5">
        <f t="shared" si="40"/>
        <v>-226664.92943094773</v>
      </c>
      <c r="AH15" s="5">
        <f t="shared" si="40"/>
        <v>-231198.22801956668</v>
      </c>
      <c r="AI15" s="5">
        <f t="shared" si="40"/>
        <v>-235822.19257995803</v>
      </c>
      <c r="AJ15" s="5">
        <f t="shared" si="40"/>
        <v>-240538.63643155721</v>
      </c>
      <c r="AK15" s="5">
        <f t="shared" si="40"/>
        <v>-245349.40916018837</v>
      </c>
      <c r="AL15" s="5">
        <f t="shared" si="40"/>
        <v>-250256.39734339213</v>
      </c>
      <c r="AM15" s="5">
        <f t="shared" si="40"/>
        <v>-255261.52529025998</v>
      </c>
      <c r="AN15" s="5">
        <f t="shared" si="40"/>
        <v>-260366.75579606518</v>
      </c>
      <c r="AO15" s="5">
        <f t="shared" si="40"/>
        <v>-265574.09091198648</v>
      </c>
      <c r="AP15" s="5">
        <f t="shared" si="40"/>
        <v>-270885.57273022621</v>
      </c>
      <c r="AQ15" s="5">
        <f t="shared" si="40"/>
        <v>-276303.28418483073</v>
      </c>
      <c r="AR15" s="5">
        <f t="shared" si="40"/>
        <v>-281829.34986852732</v>
      </c>
      <c r="AS15" s="5">
        <f t="shared" si="40"/>
        <v>-287465.93686589785</v>
      </c>
      <c r="AT15" s="5">
        <f t="shared" si="40"/>
        <v>-293215.25560321583</v>
      </c>
      <c r="AU15" s="5">
        <f t="shared" si="40"/>
        <v>-299079.56071528018</v>
      </c>
      <c r="AV15" s="5">
        <f t="shared" si="40"/>
        <v>-305061.15192958579</v>
      </c>
      <c r="AW15" s="5">
        <f t="shared" si="40"/>
        <v>-311162.37496817752</v>
      </c>
      <c r="AX15" s="5">
        <f t="shared" si="40"/>
        <v>-317385.62246754108</v>
      </c>
      <c r="AY15" s="5">
        <f t="shared" si="40"/>
        <v>-323733.33491689188</v>
      </c>
      <c r="AZ15" s="5">
        <f t="shared" si="40"/>
        <v>-330208.0016152297</v>
      </c>
      <c r="BA15" s="5">
        <f t="shared" si="40"/>
        <v>-336812.16164753429</v>
      </c>
      <c r="BB15" s="5">
        <f t="shared" si="40"/>
        <v>-343548.40488048497</v>
      </c>
      <c r="BC15" s="5">
        <f t="shared" si="40"/>
        <v>-350419.37297809467</v>
      </c>
      <c r="BD15" s="5">
        <f t="shared" si="40"/>
        <v>-357427.7604376566</v>
      </c>
      <c r="BE15" s="5">
        <f t="shared" si="40"/>
        <v>-364576.31564640976</v>
      </c>
      <c r="BF15" s="5">
        <f t="shared" si="40"/>
        <v>-371867.84195933794</v>
      </c>
      <c r="BG15" s="5">
        <f t="shared" si="40"/>
        <v>-379305.19879852468</v>
      </c>
      <c r="BH15" s="5">
        <f t="shared" si="40"/>
        <v>-386891.30277449515</v>
      </c>
      <c r="BI15" s="5">
        <f t="shared" si="40"/>
        <v>-394629.12882998504</v>
      </c>
      <c r="BJ15" s="5">
        <f t="shared" si="40"/>
        <v>-402521.71140658477</v>
      </c>
      <c r="BK15" s="5">
        <f t="shared" si="40"/>
        <v>-410572.14563471649</v>
      </c>
    </row>
    <row r="16" spans="1:86" s="6" customFormat="1">
      <c r="A16" s="6" t="s">
        <v>34</v>
      </c>
      <c r="B16" s="6">
        <f>B13-B14+B15</f>
        <v>-717904</v>
      </c>
      <c r="C16" s="6">
        <f>C13-C14+C15</f>
        <v>-1115902</v>
      </c>
      <c r="D16" s="6">
        <f t="shared" ref="D16:P16" si="41">D13-D14+D15</f>
        <v>109711</v>
      </c>
      <c r="E16" s="6">
        <f t="shared" si="41"/>
        <v>-2397229</v>
      </c>
      <c r="F16" s="6">
        <f t="shared" si="41"/>
        <v>-1456927</v>
      </c>
      <c r="G16" s="6">
        <f t="shared" si="41"/>
        <v>638441</v>
      </c>
      <c r="H16" s="6">
        <f t="shared" si="41"/>
        <v>-1466369</v>
      </c>
      <c r="I16" s="6">
        <f t="shared" si="41"/>
        <v>0</v>
      </c>
      <c r="J16" s="6">
        <f>J13-J14+J15</f>
        <v>-862450</v>
      </c>
      <c r="K16" s="6">
        <f t="shared" si="41"/>
        <v>-1988914</v>
      </c>
      <c r="L16" s="6">
        <f t="shared" si="41"/>
        <v>95242</v>
      </c>
      <c r="M16" s="6">
        <f>M13-M14+M15</f>
        <v>-3047653</v>
      </c>
      <c r="N16" s="6">
        <f t="shared" si="41"/>
        <v>727937</v>
      </c>
      <c r="O16" s="6">
        <f>O13-O14+O15</f>
        <v>-128724</v>
      </c>
      <c r="P16" s="6">
        <f t="shared" si="41"/>
        <v>-2670101</v>
      </c>
      <c r="Q16" s="6">
        <f>SUM(B16:E16)</f>
        <v>-4121324</v>
      </c>
      <c r="R16" s="6">
        <f>SUM(F16:I16)</f>
        <v>-2284855</v>
      </c>
      <c r="S16" s="6">
        <f>SUM(J16:M16)</f>
        <v>-5803775</v>
      </c>
      <c r="T16" s="6">
        <f>SUM(N16:P16)*1.25</f>
        <v>-2588610</v>
      </c>
      <c r="V16" s="6">
        <f>V13-V14+V15</f>
        <v>3861898.3001381024</v>
      </c>
      <c r="W16" s="6">
        <f t="shared" ref="W16:BK16" si="42">W13-W14+W15</f>
        <v>15841667.844617449</v>
      </c>
      <c r="X16" s="6">
        <f t="shared" si="42"/>
        <v>35572754.672298238</v>
      </c>
      <c r="Y16" s="6">
        <f t="shared" si="42"/>
        <v>65014817.944661461</v>
      </c>
      <c r="Z16" s="6">
        <f t="shared" si="42"/>
        <v>105372916.79667263</v>
      </c>
      <c r="AA16" s="6">
        <f t="shared" si="42"/>
        <v>156751270.56082407</v>
      </c>
      <c r="AB16" s="6">
        <f t="shared" si="42"/>
        <v>218070443.94654801</v>
      </c>
      <c r="AC16" s="6">
        <f t="shared" si="42"/>
        <v>287255277.05951643</v>
      </c>
      <c r="AD16" s="6">
        <f t="shared" si="42"/>
        <v>361605637.81464994</v>
      </c>
      <c r="AE16" s="6">
        <f t="shared" si="42"/>
        <v>438222996.088539</v>
      </c>
      <c r="AF16" s="6">
        <f t="shared" si="42"/>
        <v>514383120.94802463</v>
      </c>
      <c r="AG16" s="6">
        <f t="shared" si="42"/>
        <v>587792720.05683815</v>
      </c>
      <c r="AH16" s="6">
        <f t="shared" si="42"/>
        <v>656716825.46662211</v>
      </c>
      <c r="AI16" s="6">
        <f t="shared" si="42"/>
        <v>719997244.58706141</v>
      </c>
      <c r="AJ16" s="6">
        <f t="shared" si="42"/>
        <v>776996913.50311947</v>
      </c>
      <c r="AK16" s="6">
        <f t="shared" si="42"/>
        <v>827505087.81827021</v>
      </c>
      <c r="AL16" s="6">
        <f t="shared" si="42"/>
        <v>871630784.62127137</v>
      </c>
      <c r="AM16" s="6">
        <f t="shared" si="42"/>
        <v>909702278.01724339</v>
      </c>
      <c r="AN16" s="6">
        <f t="shared" si="42"/>
        <v>942181958.08983994</v>
      </c>
      <c r="AO16" s="6">
        <f t="shared" si="42"/>
        <v>969599719.84110582</v>
      </c>
      <c r="AP16" s="6">
        <f t="shared" si="42"/>
        <v>992504278.53390014</v>
      </c>
      <c r="AQ16" s="6">
        <f t="shared" si="42"/>
        <v>1011429903.005631</v>
      </c>
      <c r="AR16" s="6">
        <f t="shared" si="42"/>
        <v>1026875402.2896891</v>
      </c>
      <c r="AS16" s="6">
        <f t="shared" si="42"/>
        <v>1039292268.3810929</v>
      </c>
      <c r="AT16" s="6">
        <f t="shared" si="42"/>
        <v>1049079295.164608</v>
      </c>
      <c r="AU16" s="6">
        <f t="shared" si="42"/>
        <v>1056581526.5338066</v>
      </c>
      <c r="AV16" s="6">
        <f>AV13-AV14+AV15</f>
        <v>1062091907.0936668</v>
      </c>
      <c r="AW16" s="6">
        <f t="shared" si="42"/>
        <v>1065854457.4536955</v>
      </c>
      <c r="AX16" s="6">
        <f t="shared" si="42"/>
        <v>1068068154.770262</v>
      </c>
      <c r="AY16" s="6">
        <f t="shared" si="42"/>
        <v>1068890971.0393062</v>
      </c>
      <c r="AZ16" s="6">
        <f t="shared" si="42"/>
        <v>1068443719.136481</v>
      </c>
      <c r="BA16" s="6">
        <f t="shared" si="42"/>
        <v>1066813494.7660341</v>
      </c>
      <c r="BB16" s="6">
        <f t="shared" si="42"/>
        <v>1064056595.5121161</v>
      </c>
      <c r="BC16" s="6">
        <f t="shared" si="42"/>
        <v>1060200858.0893445</v>
      </c>
      <c r="BD16" s="6">
        <f t="shared" si="42"/>
        <v>1055247391.1515229</v>
      </c>
      <c r="BE16" s="6">
        <f t="shared" si="42"/>
        <v>1049171700.8010731</v>
      </c>
      <c r="BF16" s="6">
        <f t="shared" si="42"/>
        <v>1041924214.4658177</v>
      </c>
      <c r="BG16" s="6">
        <f t="shared" si="42"/>
        <v>1033430209.7635494</v>
      </c>
      <c r="BH16" s="6">
        <f t="shared" si="42"/>
        <v>1023589150.8907173</v>
      </c>
      <c r="BI16" s="6">
        <f t="shared" si="42"/>
        <v>1012273427.6316069</v>
      </c>
      <c r="BJ16" s="6">
        <f t="shared" si="42"/>
        <v>999326482.35819209</v>
      </c>
      <c r="BK16" s="6">
        <f t="shared" si="42"/>
        <v>984560299.01310647</v>
      </c>
    </row>
    <row r="17" spans="1:67" s="3" customFormat="1">
      <c r="A17" s="3" t="s">
        <v>35</v>
      </c>
      <c r="B17" s="3">
        <f>B16/B18</f>
        <v>-9.140460297723467E-3</v>
      </c>
      <c r="C17" s="3">
        <f>C16/C18</f>
        <v>-1.2490775351149497E-2</v>
      </c>
      <c r="D17" s="3">
        <f>D16/D18</f>
        <v>1.2083382886389547E-3</v>
      </c>
      <c r="E17" s="3">
        <f>E16/E18</f>
        <v>-2.7408616516738784E-2</v>
      </c>
      <c r="F17" s="3">
        <f>F16/F18</f>
        <v>-1.5149776247805941E-2</v>
      </c>
      <c r="G17" s="3">
        <f>G16/G18</f>
        <v>6.0628543340561225E-3</v>
      </c>
      <c r="H17" s="3">
        <f>H16/H18</f>
        <v>-1.2229226144913572E-2</v>
      </c>
      <c r="I17" s="3" t="e">
        <f>I16/I18</f>
        <v>#DIV/0!</v>
      </c>
      <c r="J17" s="3">
        <f>J16/J18</f>
        <v>-6.1870343090045044E-3</v>
      </c>
      <c r="K17" s="3">
        <f>K16/K18</f>
        <v>-1.3630035416803913E-2</v>
      </c>
      <c r="L17" s="3">
        <f>L16/L18</f>
        <v>6.5226303262520499E-4</v>
      </c>
      <c r="M17" s="3">
        <f>M16/M18</f>
        <v>-2.0715819020627541E-2</v>
      </c>
      <c r="N17" s="3">
        <f>N16/N18</f>
        <v>4.9403316454758768E-3</v>
      </c>
      <c r="O17" s="3">
        <f>O16/O18</f>
        <v>-8.6967126454575762E-4</v>
      </c>
      <c r="P17" s="3">
        <f>P16/P18</f>
        <v>-1.7837521013992778E-2</v>
      </c>
      <c r="Q17" s="3">
        <f>AVERAGE(B17:E17)</f>
        <v>-1.1957878469243198E-2</v>
      </c>
      <c r="R17" s="3" t="e">
        <f>AVERAGE(F17:I17)</f>
        <v>#DIV/0!</v>
      </c>
      <c r="S17" s="3">
        <f>AVERAGE(J17:M17)</f>
        <v>-9.9701564284526874E-3</v>
      </c>
      <c r="T17" s="3">
        <f>AVERAGE(N17:P17)</f>
        <v>-4.5889535443542195E-3</v>
      </c>
      <c r="V17" s="3">
        <f>T17+T17*V2*-1</f>
        <v>4.5882476615425032E-4</v>
      </c>
      <c r="W17" s="3">
        <f>V17+V17*W2</f>
        <v>8.7520241880182444E-4</v>
      </c>
      <c r="X17" s="3">
        <f t="shared" ref="X17:BK17" si="43">W17+W17*X2</f>
        <v>1.5304463667777694E-3</v>
      </c>
      <c r="Y17" s="3">
        <f t="shared" si="43"/>
        <v>2.475739650755749E-3</v>
      </c>
      <c r="Z17" s="3">
        <f t="shared" si="43"/>
        <v>3.7372981054132528E-3</v>
      </c>
      <c r="AA17" s="3">
        <f t="shared" si="43"/>
        <v>5.3084352471323964E-3</v>
      </c>
      <c r="AB17" s="3">
        <f t="shared" si="43"/>
        <v>7.1495329132532197E-3</v>
      </c>
      <c r="AC17" s="3">
        <f t="shared" si="43"/>
        <v>9.1952328025441329E-3</v>
      </c>
      <c r="AD17" s="3">
        <f t="shared" si="43"/>
        <v>1.1365838454323381E-2</v>
      </c>
      <c r="AE17" s="3">
        <f t="shared" si="43"/>
        <v>1.3579308392023504E-2</v>
      </c>
      <c r="AF17" s="3">
        <f t="shared" si="43"/>
        <v>1.5761052184403598E-2</v>
      </c>
      <c r="AG17" s="3">
        <f t="shared" si="43"/>
        <v>1.7850181161881012E-2</v>
      </c>
      <c r="AH17" s="3">
        <f t="shared" si="43"/>
        <v>1.9802166821392519E-2</v>
      </c>
      <c r="AI17" s="3">
        <f t="shared" si="43"/>
        <v>2.1588657103057265E-2</v>
      </c>
      <c r="AJ17" s="3">
        <f t="shared" si="43"/>
        <v>2.3195478181111694E-2</v>
      </c>
      <c r="AK17" s="3">
        <f t="shared" si="43"/>
        <v>2.4619770625065474E-2</v>
      </c>
      <c r="AL17" s="3">
        <f t="shared" si="43"/>
        <v>2.5866963988550908E-2</v>
      </c>
      <c r="AM17" s="3">
        <f t="shared" si="43"/>
        <v>2.6948022488520587E-2</v>
      </c>
      <c r="AN17" s="3">
        <f t="shared" si="43"/>
        <v>2.7877169826597218E-2</v>
      </c>
      <c r="AO17" s="3">
        <f t="shared" si="43"/>
        <v>2.8670146323204145E-2</v>
      </c>
      <c r="AP17" s="3">
        <f t="shared" si="43"/>
        <v>2.9342961055554968E-2</v>
      </c>
      <c r="AQ17" s="3">
        <f t="shared" si="43"/>
        <v>2.9911059328224791E-2</v>
      </c>
      <c r="AR17" s="3">
        <f t="shared" si="43"/>
        <v>3.0388814365024993E-2</v>
      </c>
      <c r="AS17" s="3">
        <f t="shared" si="43"/>
        <v>3.0789257806259157E-2</v>
      </c>
      <c r="AT17" s="3">
        <f t="shared" si="43"/>
        <v>3.1123976985024445E-2</v>
      </c>
      <c r="AU17" s="3">
        <f t="shared" si="43"/>
        <v>3.1403122343693371E-2</v>
      </c>
      <c r="AV17" s="3">
        <f t="shared" si="43"/>
        <v>3.1635482738372113E-2</v>
      </c>
      <c r="AW17" s="3">
        <f t="shared" si="43"/>
        <v>3.1828598485556532E-2</v>
      </c>
      <c r="AX17" s="3">
        <f t="shared" si="43"/>
        <v>3.1988891533527172E-2</v>
      </c>
      <c r="AY17" s="3">
        <f t="shared" si="43"/>
        <v>3.2121799285187567E-2</v>
      </c>
      <c r="AZ17" s="3">
        <f t="shared" si="43"/>
        <v>3.2231903750582692E-2</v>
      </c>
      <c r="BA17" s="3">
        <f t="shared" si="43"/>
        <v>3.2323051295344553E-2</v>
      </c>
      <c r="BB17" s="3">
        <f t="shared" si="43"/>
        <v>3.2398460666126803E-2</v>
      </c>
      <c r="BC17" s="3">
        <f t="shared" si="43"/>
        <v>3.2460818538730736E-2</v>
      </c>
      <c r="BD17" s="3">
        <f t="shared" si="43"/>
        <v>3.2512362801173686E-2</v>
      </c>
      <c r="BE17" s="3">
        <f t="shared" si="43"/>
        <v>3.2554954341219522E-2</v>
      </c>
      <c r="BF17" s="3">
        <f t="shared" si="43"/>
        <v>3.2590138392936861E-2</v>
      </c>
      <c r="BG17" s="3">
        <f t="shared" si="43"/>
        <v>3.2619196606617822E-2</v>
      </c>
      <c r="BH17" s="3">
        <f t="shared" si="43"/>
        <v>3.2643191007877374E-2</v>
      </c>
      <c r="BI17" s="3">
        <f t="shared" si="43"/>
        <v>3.2663000950229018E-2</v>
      </c>
      <c r="BJ17" s="3">
        <f t="shared" si="43"/>
        <v>3.2679354070752752E-2</v>
      </c>
      <c r="BK17" s="3">
        <f t="shared" si="43"/>
        <v>3.2692852149777123E-2</v>
      </c>
    </row>
    <row r="18" spans="1:67" s="5" customFormat="1">
      <c r="A18" s="5" t="s">
        <v>36</v>
      </c>
      <c r="B18" s="5">
        <v>78541340</v>
      </c>
      <c r="C18" s="5">
        <v>89338089</v>
      </c>
      <c r="D18" s="5">
        <v>90794938</v>
      </c>
      <c r="E18" s="5">
        <v>87462605</v>
      </c>
      <c r="F18" s="5">
        <v>96168219</v>
      </c>
      <c r="G18" s="5">
        <v>105303701</v>
      </c>
      <c r="H18" s="5">
        <v>119906933</v>
      </c>
      <c r="J18" s="5">
        <v>139396350</v>
      </c>
      <c r="K18" s="5">
        <v>145921411</v>
      </c>
      <c r="L18" s="5">
        <v>146017780</v>
      </c>
      <c r="M18" s="5">
        <v>147117186</v>
      </c>
      <c r="N18" s="5">
        <v>147345776</v>
      </c>
      <c r="O18" s="5">
        <v>148014549</v>
      </c>
      <c r="P18" s="5">
        <v>149690139</v>
      </c>
    </row>
    <row r="19" spans="1:67" s="5" customFormat="1"/>
    <row r="20" spans="1:67" s="7" customFormat="1">
      <c r="A20" s="7" t="s">
        <v>37</v>
      </c>
      <c r="B20" s="7">
        <f>B8/B6</f>
        <v>0.31290720411524636</v>
      </c>
      <c r="C20" s="7">
        <f>C8/C6</f>
        <v>-0.1252308281403435</v>
      </c>
      <c r="D20" s="7">
        <f>D8/D6</f>
        <v>0.73531971464320312</v>
      </c>
      <c r="E20" s="7">
        <f>E8/E6</f>
        <v>0.45198656895719808</v>
      </c>
      <c r="F20" s="7" t="e">
        <f>F8/F6</f>
        <v>#DIV/0!</v>
      </c>
      <c r="G20" s="7">
        <f>G8/G6</f>
        <v>0.6198346663904577</v>
      </c>
      <c r="H20" s="7">
        <f>H8/H6</f>
        <v>3.4829308882798136E-2</v>
      </c>
      <c r="I20" s="7" t="e">
        <f>I8/I6</f>
        <v>#DIV/0!</v>
      </c>
      <c r="J20" s="7">
        <f>J8/J6</f>
        <v>0.4299426384836989</v>
      </c>
      <c r="K20" s="7">
        <f>K8/K6</f>
        <v>0.47002643000534583</v>
      </c>
      <c r="L20" s="7">
        <f>L8/L6</f>
        <v>0.39824584414196468</v>
      </c>
      <c r="M20" s="7">
        <f>M8/M6</f>
        <v>0.44265684826121471</v>
      </c>
      <c r="N20" s="7">
        <f>N8/N6</f>
        <v>0.45659855962007145</v>
      </c>
      <c r="O20" s="7">
        <f>O8/O6</f>
        <v>0.50072986495197702</v>
      </c>
      <c r="P20" s="7">
        <f>P8/P6</f>
        <v>0.52002927278103717</v>
      </c>
      <c r="Q20" s="7">
        <f>Q8/Q6</f>
        <v>0.51015325767536635</v>
      </c>
      <c r="R20" s="7">
        <f t="shared" ref="R20:T20" si="44">R8/R6</f>
        <v>0.40192383222580269</v>
      </c>
      <c r="S20" s="7">
        <f t="shared" si="44"/>
        <v>0.42987386947802148</v>
      </c>
      <c r="T20" s="7">
        <f t="shared" si="44"/>
        <v>0.47604786697914586</v>
      </c>
      <c r="V20" s="7">
        <f>V8/V6</f>
        <v>0.49016348816295452</v>
      </c>
      <c r="W20" s="7">
        <f t="shared" ref="W20:BK20" si="45">W8/W6</f>
        <v>0.50336424204338692</v>
      </c>
      <c r="X20" s="7">
        <f t="shared" si="45"/>
        <v>0.515563857384567</v>
      </c>
      <c r="Y20" s="7">
        <f t="shared" si="45"/>
        <v>0.52670739125186072</v>
      </c>
      <c r="Z20" s="7">
        <f t="shared" si="45"/>
        <v>0.5367720237920458</v>
      </c>
      <c r="AA20" s="7">
        <f t="shared" si="45"/>
        <v>0.54576526655226532</v>
      </c>
      <c r="AB20" s="7">
        <f t="shared" si="45"/>
        <v>0.55372106777140029</v>
      </c>
      <c r="AC20" s="7">
        <f t="shared" si="45"/>
        <v>0.56069454060097046</v>
      </c>
      <c r="AD20" s="7">
        <f t="shared" si="45"/>
        <v>0.56675610398423226</v>
      </c>
      <c r="AE20" s="7">
        <f t="shared" si="45"/>
        <v>0.57198573509483974</v>
      </c>
      <c r="AF20" s="7">
        <f t="shared" si="45"/>
        <v>0.57646784614717761</v>
      </c>
      <c r="AG20" s="7">
        <f t="shared" si="45"/>
        <v>0.58028708294666298</v>
      </c>
      <c r="AH20" s="7">
        <f t="shared" si="45"/>
        <v>0.58352514885393436</v>
      </c>
      <c r="AI20" s="7">
        <f t="shared" si="45"/>
        <v>0.58625861362158749</v>
      </c>
      <c r="AJ20" s="7">
        <f t="shared" si="45"/>
        <v>0.58855757830414601</v>
      </c>
      <c r="AK20" s="7">
        <f t="shared" si="45"/>
        <v>0.5904850277536392</v>
      </c>
      <c r="AL20" s="7">
        <f t="shared" si="45"/>
        <v>0.59209669765662143</v>
      </c>
      <c r="AM20" s="7">
        <f t="shared" si="45"/>
        <v>0.59344129982231097</v>
      </c>
      <c r="AN20" s="7">
        <f t="shared" si="45"/>
        <v>0.59456097627857951</v>
      </c>
      <c r="AO20" s="7">
        <f t="shared" si="45"/>
        <v>0.59549188195757774</v>
      </c>
      <c r="AP20" s="7">
        <f t="shared" si="45"/>
        <v>0.59626482283071136</v>
      </c>
      <c r="AQ20" s="7">
        <f t="shared" si="45"/>
        <v>0.59690589915162218</v>
      </c>
      <c r="AR20" s="7">
        <f t="shared" si="45"/>
        <v>0.59743712140777261</v>
      </c>
      <c r="AS20" s="7">
        <f t="shared" si="45"/>
        <v>0.59787697996090416</v>
      </c>
      <c r="AT20" s="7">
        <f t="shared" si="45"/>
        <v>0.5982409588681088</v>
      </c>
      <c r="AU20" s="7">
        <f t="shared" si="45"/>
        <v>0.59854199082155823</v>
      </c>
      <c r="AV20" s="7">
        <f t="shared" si="45"/>
        <v>0.59879085428230061</v>
      </c>
      <c r="AW20" s="7">
        <f t="shared" si="45"/>
        <v>0.59899651635310935</v>
      </c>
      <c r="AX20" s="7">
        <f t="shared" si="45"/>
        <v>0.5991664262456412</v>
      </c>
      <c r="AY20" s="7">
        <f t="shared" si="45"/>
        <v>0.59930676473267042</v>
      </c>
      <c r="AZ20" s="7">
        <f t="shared" si="45"/>
        <v>0.59942265501683212</v>
      </c>
      <c r="BA20" s="7">
        <f t="shared" si="45"/>
        <v>0.5995183401903873</v>
      </c>
      <c r="BB20" s="7">
        <f t="shared" si="45"/>
        <v>0.5995973320407163</v>
      </c>
      <c r="BC20" s="7">
        <f t="shared" si="45"/>
        <v>0.59966253546259207</v>
      </c>
      <c r="BD20" s="7">
        <f t="shared" si="45"/>
        <v>0.59971635222739561</v>
      </c>
      <c r="BE20" s="7">
        <f t="shared" si="45"/>
        <v>0.59976076736549311</v>
      </c>
      <c r="BF20" s="7">
        <f t="shared" si="45"/>
        <v>0.59979742096008615</v>
      </c>
      <c r="BG20" s="7">
        <f t="shared" si="45"/>
        <v>0.59982766773813689</v>
      </c>
      <c r="BH20" s="7">
        <f t="shared" si="45"/>
        <v>0.59985262647935289</v>
      </c>
      <c r="BI20" s="7">
        <f t="shared" si="45"/>
        <v>0.5998732209467893</v>
      </c>
      <c r="BJ20" s="7">
        <f t="shared" si="45"/>
        <v>0.59989021376930962</v>
      </c>
      <c r="BK20" s="7">
        <f t="shared" si="45"/>
        <v>0.59990423447283325</v>
      </c>
    </row>
    <row r="21" spans="1:67" s="7" customFormat="1">
      <c r="A21" s="7" t="s">
        <v>38</v>
      </c>
      <c r="B21" s="7">
        <f>B13/B6</f>
        <v>-5.7246468531184833</v>
      </c>
      <c r="C21" s="7">
        <f>C13/C6</f>
        <v>-6.6680768541907272</v>
      </c>
      <c r="D21" s="7">
        <f>D13/D6</f>
        <v>9.2778167379722318E-2</v>
      </c>
      <c r="E21" s="7">
        <f>E13/E6</f>
        <v>-0.85085146755225893</v>
      </c>
      <c r="F21" s="7" t="e">
        <f>F13/F6</f>
        <v>#DIV/0!</v>
      </c>
      <c r="G21" s="7">
        <f>G13/G6</f>
        <v>0.1919846446416846</v>
      </c>
      <c r="H21" s="7">
        <f>H13/H6</f>
        <v>-1.3659233898757253</v>
      </c>
      <c r="I21" s="7" t="e">
        <f>I13/I6</f>
        <v>#DIV/0!</v>
      </c>
      <c r="J21" s="7">
        <f>J13/J6</f>
        <v>-0.62517042321918237</v>
      </c>
      <c r="K21" s="7">
        <f>K13/K6</f>
        <v>-1.3950003551415147</v>
      </c>
      <c r="L21" s="7">
        <f>L13/L6</f>
        <v>-5.9985922572615341E-2</v>
      </c>
      <c r="M21" s="7">
        <f>M13/M6</f>
        <v>-0.21185349824930397</v>
      </c>
      <c r="N21" s="7">
        <f>N13/N6</f>
        <v>0.12516299138979842</v>
      </c>
      <c r="O21" s="7">
        <f>O13/O6</f>
        <v>-5.1144886628812732E-2</v>
      </c>
      <c r="P21" s="7">
        <f>P13/P6</f>
        <v>-1.5560275464375402</v>
      </c>
      <c r="Q21" s="7">
        <f>Q13/Q6</f>
        <v>-0.96790029965533486</v>
      </c>
      <c r="R21" s="7">
        <f t="shared" ref="R21:T21" si="46">R13/R6</f>
        <v>-0.52675598596637374</v>
      </c>
      <c r="S21" s="7">
        <f t="shared" si="46"/>
        <v>-0.24926166416387294</v>
      </c>
      <c r="T21" s="7">
        <f t="shared" si="46"/>
        <v>-0.16848744483667996</v>
      </c>
      <c r="V21" s="7">
        <f>V13/V6</f>
        <v>0.16183377776702618</v>
      </c>
      <c r="W21" s="7">
        <f t="shared" ref="W21:BK21" si="47">W13/W6</f>
        <v>0.31993081422460568</v>
      </c>
      <c r="X21" s="7">
        <f t="shared" si="47"/>
        <v>0.40410797996974446</v>
      </c>
      <c r="Y21" s="7">
        <f t="shared" si="47"/>
        <v>0.4536732256542334</v>
      </c>
      <c r="Z21" s="7">
        <f t="shared" si="47"/>
        <v>0.48558381058567035</v>
      </c>
      <c r="AA21" s="7">
        <f t="shared" si="47"/>
        <v>0.50769292809108324</v>
      </c>
      <c r="AB21" s="7">
        <f t="shared" si="47"/>
        <v>0.52389277322677141</v>
      </c>
      <c r="AC21" s="7">
        <f t="shared" si="47"/>
        <v>0.53624571916873953</v>
      </c>
      <c r="AD21" s="7">
        <f t="shared" si="47"/>
        <v>0.54592078667151733</v>
      </c>
      <c r="AE21" s="7">
        <f t="shared" si="47"/>
        <v>0.55362726208771884</v>
      </c>
      <c r="AF21" s="7">
        <f t="shared" si="47"/>
        <v>0.5598250795890658</v>
      </c>
      <c r="AG21" s="7">
        <f t="shared" si="47"/>
        <v>0.56483132056291163</v>
      </c>
      <c r="AH21" s="7">
        <f t="shared" si="47"/>
        <v>0.56887634555883659</v>
      </c>
      <c r="AI21" s="7">
        <f t="shared" si="47"/>
        <v>0.57213461760130213</v>
      </c>
      <c r="AJ21" s="7">
        <f t="shared" si="47"/>
        <v>0.57474239655900572</v>
      </c>
      <c r="AK21" s="7">
        <f t="shared" si="47"/>
        <v>0.57680841340066946</v>
      </c>
      <c r="AL21" s="7">
        <f t="shared" si="47"/>
        <v>0.57842067031306477</v>
      </c>
      <c r="AM21" s="7">
        <f t="shared" si="47"/>
        <v>0.5796510245274572</v>
      </c>
      <c r="AN21" s="7">
        <f t="shared" si="47"/>
        <v>0.58055844880654928</v>
      </c>
      <c r="AO21" s="7">
        <f t="shared" si="47"/>
        <v>0.58119146104598274</v>
      </c>
      <c r="AP21" s="7">
        <f t="shared" si="47"/>
        <v>0.58159000246109582</v>
      </c>
      <c r="AQ21" s="7">
        <f t="shared" si="47"/>
        <v>0.58178692888493022</v>
      </c>
      <c r="AR21" s="7">
        <f t="shared" si="47"/>
        <v>0.5818092166245572</v>
      </c>
      <c r="AS21" s="7">
        <f t="shared" si="47"/>
        <v>0.58167894893648575</v>
      </c>
      <c r="AT21" s="7">
        <f t="shared" si="47"/>
        <v>0.58141412870881604</v>
      </c>
      <c r="AU21" s="7">
        <f t="shared" si="47"/>
        <v>0.58102935058030358</v>
      </c>
      <c r="AV21" s="7">
        <f t="shared" si="47"/>
        <v>0.58053635785509972</v>
      </c>
      <c r="AW21" s="7">
        <f t="shared" si="47"/>
        <v>0.5799445042425897</v>
      </c>
      <c r="AX21" s="7">
        <f t="shared" si="47"/>
        <v>0.57926113661850487</v>
      </c>
      <c r="AY21" s="7">
        <f t="shared" si="47"/>
        <v>0.57849191209833573</v>
      </c>
      <c r="AZ21" s="7">
        <f t="shared" si="47"/>
        <v>0.57764106042300301</v>
      </c>
      <c r="BA21" s="7">
        <f t="shared" si="47"/>
        <v>0.57671160080041817</v>
      </c>
      <c r="BB21" s="7">
        <f t="shared" si="47"/>
        <v>0.57570552081730353</v>
      </c>
      <c r="BC21" s="7">
        <f t="shared" si="47"/>
        <v>0.57462392376422033</v>
      </c>
      <c r="BD21" s="7">
        <f t="shared" si="47"/>
        <v>0.57346714965505896</v>
      </c>
      <c r="BE21" s="7">
        <f t="shared" si="47"/>
        <v>0.57223487433441667</v>
      </c>
      <c r="BF21" s="7">
        <f t="shared" si="47"/>
        <v>0.57092619032392977</v>
      </c>
      <c r="BG21" s="7">
        <f t="shared" si="47"/>
        <v>0.56953967243851056</v>
      </c>
      <c r="BH21" s="7">
        <f t="shared" si="47"/>
        <v>0.56807343068607352</v>
      </c>
      <c r="BI21" s="7">
        <f t="shared" si="47"/>
        <v>0.56652515253323776</v>
      </c>
      <c r="BJ21" s="7">
        <f t="shared" si="47"/>
        <v>0.5648921362607201</v>
      </c>
      <c r="BK21" s="7">
        <f t="shared" si="47"/>
        <v>0.56317131683380184</v>
      </c>
    </row>
    <row r="22" spans="1:67" s="7" customFormat="1">
      <c r="A22" s="7" t="s">
        <v>39</v>
      </c>
      <c r="B22" s="7">
        <f>B16/B6</f>
        <v>-2.912413082459087</v>
      </c>
      <c r="C22" s="7">
        <f>C16/C6</f>
        <v>-6.8918149422234851</v>
      </c>
      <c r="D22" s="7">
        <f>D16/D6</f>
        <v>6.918931122860833E-2</v>
      </c>
      <c r="E22" s="7">
        <f>E16/E6</f>
        <v>-0.67840887705332087</v>
      </c>
      <c r="F22" s="7" t="e">
        <f>F16/F6</f>
        <v>#DIV/0!</v>
      </c>
      <c r="G22" s="7">
        <f>G16/G6</f>
        <v>0.1713178092800311</v>
      </c>
      <c r="H22" s="7">
        <f>H16/H6</f>
        <v>-0.93142120323819266</v>
      </c>
      <c r="I22" s="7" t="e">
        <f>I16/I6</f>
        <v>#DIV/0!</v>
      </c>
      <c r="J22" s="7">
        <f>J16/J6</f>
        <v>-0.62980827159637354</v>
      </c>
      <c r="K22" s="7">
        <f>K16/K6</f>
        <v>-1.487044063716126</v>
      </c>
      <c r="L22" s="7">
        <f>L16/L6</f>
        <v>1.2175466209316465E-2</v>
      </c>
      <c r="M22" s="7">
        <f>M16/M6</f>
        <v>-0.20121866032271543</v>
      </c>
      <c r="N22" s="7">
        <f>N16/N6</f>
        <v>0.11390612102790394</v>
      </c>
      <c r="O22" s="7">
        <f>O16/O6</f>
        <v>-5.6410168765110569E-2</v>
      </c>
      <c r="P22" s="7">
        <f>P16/P6</f>
        <v>-1.7277029602132177</v>
      </c>
      <c r="Q22" s="7">
        <f>Q16/Q6</f>
        <v>-0.74557879936696814</v>
      </c>
      <c r="R22" s="7">
        <f t="shared" ref="R22:T22" si="48">R16/R6</f>
        <v>-0.43102485539471741</v>
      </c>
      <c r="S22" s="7">
        <f t="shared" si="48"/>
        <v>-0.22604500012229647</v>
      </c>
      <c r="T22" s="7">
        <f t="shared" si="48"/>
        <v>-0.20266925241339678</v>
      </c>
      <c r="V22" s="7">
        <f>V16/V6</f>
        <v>0.14398125681205567</v>
      </c>
      <c r="W22" s="7">
        <f t="shared" ref="W22:BK22" si="49">W16/W6</f>
        <v>0.30963095564685383</v>
      </c>
      <c r="X22" s="7">
        <f t="shared" si="49"/>
        <v>0.39760456487824825</v>
      </c>
      <c r="Y22" s="7">
        <f t="shared" si="49"/>
        <v>0.44922028374843131</v>
      </c>
      <c r="Z22" s="7">
        <f t="shared" si="49"/>
        <v>0.48230663937471024</v>
      </c>
      <c r="AA22" s="7">
        <f t="shared" si="49"/>
        <v>0.50512228005198856</v>
      </c>
      <c r="AB22" s="7">
        <f t="shared" si="49"/>
        <v>0.52176040340059981</v>
      </c>
      <c r="AC22" s="7">
        <f t="shared" si="49"/>
        <v>0.534388699787683</v>
      </c>
      <c r="AD22" s="7">
        <f t="shared" si="49"/>
        <v>0.54423402914206498</v>
      </c>
      <c r="AE22" s="7">
        <f t="shared" si="49"/>
        <v>0.55203865824821774</v>
      </c>
      <c r="AF22" s="7">
        <f t="shared" si="49"/>
        <v>0.55828181467770066</v>
      </c>
      <c r="AG22" s="7">
        <f t="shared" si="49"/>
        <v>0.56329196211988464</v>
      </c>
      <c r="AH22" s="7">
        <f t="shared" si="49"/>
        <v>0.56730604042954114</v>
      </c>
      <c r="AI22" s="7">
        <f t="shared" si="49"/>
        <v>0.57050201848087312</v>
      </c>
      <c r="AJ22" s="7">
        <f t="shared" si="49"/>
        <v>0.57301757567972966</v>
      </c>
      <c r="AK22" s="7">
        <f t="shared" si="49"/>
        <v>0.57496134734994364</v>
      </c>
      <c r="AL22" s="7">
        <f t="shared" si="49"/>
        <v>0.57642005337266611</v>
      </c>
      <c r="AM22" s="7">
        <f t="shared" si="49"/>
        <v>0.57746326289637917</v>
      </c>
      <c r="AN22" s="7">
        <f t="shared" si="49"/>
        <v>0.57814674139749489</v>
      </c>
      <c r="AO22" s="7">
        <f t="shared" si="49"/>
        <v>0.57851490301117414</v>
      </c>
      <c r="AP22" s="7">
        <f t="shared" si="49"/>
        <v>0.57860266509652658</v>
      </c>
      <c r="AQ22" s="7">
        <f t="shared" si="49"/>
        <v>0.57843687943829325</v>
      </c>
      <c r="AR22" s="7">
        <f t="shared" si="49"/>
        <v>0.57803744676045121</v>
      </c>
      <c r="AS22" s="7">
        <f t="shared" si="49"/>
        <v>0.57741818287163593</v>
      </c>
      <c r="AT22" s="7">
        <f t="shared" si="49"/>
        <v>0.57658748227965095</v>
      </c>
      <c r="AU22" s="7">
        <f t="shared" si="49"/>
        <v>0.57554881129330115</v>
      </c>
      <c r="AV22" s="7">
        <f t="shared" si="49"/>
        <v>0.57430105360170725</v>
      </c>
      <c r="AW22" s="7">
        <f t="shared" si="49"/>
        <v>0.57283872499135946</v>
      </c>
      <c r="AX22" s="7">
        <f t="shared" si="49"/>
        <v>0.57115206908834626</v>
      </c>
      <c r="AY22" s="7">
        <f t="shared" si="49"/>
        <v>0.56922704216497322</v>
      </c>
      <c r="AZ22" s="7">
        <f t="shared" si="49"/>
        <v>0.56704519176537005</v>
      </c>
      <c r="BA22" s="7">
        <f t="shared" si="49"/>
        <v>0.56458343096687469</v>
      </c>
      <c r="BB22" s="7">
        <f t="shared" si="49"/>
        <v>0.56181370736269176</v>
      </c>
      <c r="BC22" s="7">
        <f t="shared" si="49"/>
        <v>0.5587025632263426</v>
      </c>
      <c r="BD22" s="7">
        <f t="shared" si="49"/>
        <v>0.5552105807202844</v>
      </c>
      <c r="BE22" s="7">
        <f t="shared" si="49"/>
        <v>0.55129170337062006</v>
      </c>
      <c r="BF22" s="7">
        <f t="shared" si="49"/>
        <v>0.54689242228215917</v>
      </c>
      <c r="BG22" s="7">
        <f t="shared" si="49"/>
        <v>0.54195081264930256</v>
      </c>
      <c r="BH22" s="7">
        <f t="shared" si="49"/>
        <v>0.53639540296279731</v>
      </c>
      <c r="BI22" s="7">
        <f t="shared" si="49"/>
        <v>0.53014385585155854</v>
      </c>
      <c r="BJ22" s="7">
        <f t="shared" si="49"/>
        <v>0.52310143565874123</v>
      </c>
      <c r="BK22" s="7">
        <f t="shared" si="49"/>
        <v>0.51515923355174065</v>
      </c>
    </row>
    <row r="23" spans="1:67" s="10" customFormat="1">
      <c r="A23" s="7" t="s">
        <v>40</v>
      </c>
      <c r="B23" s="7"/>
      <c r="C23" s="7">
        <f>C6/B6-1</f>
        <v>-0.34313057306752992</v>
      </c>
      <c r="D23" s="7">
        <f t="shared" ref="D23:P23" si="50">D6/C6-1</f>
        <v>8.7930668181846254</v>
      </c>
      <c r="E23" s="7">
        <f t="shared" si="50"/>
        <v>1.2284702181546656</v>
      </c>
      <c r="F23" s="7">
        <f>F6/E6-1</f>
        <v>-1</v>
      </c>
      <c r="G23" s="7">
        <v>0</v>
      </c>
      <c r="H23" s="7">
        <f t="shared" si="50"/>
        <v>-0.57754651835819171</v>
      </c>
      <c r="I23" s="7">
        <f t="shared" si="50"/>
        <v>-1</v>
      </c>
      <c r="J23" s="7">
        <v>0</v>
      </c>
      <c r="K23" s="7">
        <f t="shared" si="50"/>
        <v>-2.3287826286982893E-2</v>
      </c>
      <c r="L23" s="7">
        <f t="shared" si="50"/>
        <v>4.8485841068564746</v>
      </c>
      <c r="M23" s="7">
        <f t="shared" si="50"/>
        <v>0.93621846449169643</v>
      </c>
      <c r="N23" s="7">
        <f t="shared" si="50"/>
        <v>-0.57806119592425076</v>
      </c>
      <c r="O23" s="7">
        <f t="shared" si="50"/>
        <v>-0.64292832916710674</v>
      </c>
      <c r="P23" s="7">
        <f t="shared" si="50"/>
        <v>-0.32273834987854577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67" s="9" customFormat="1">
      <c r="A24" s="9" t="s">
        <v>41</v>
      </c>
      <c r="R24" s="9">
        <f>IF(MIN(Q6, R6)&lt;=0,IF((R6 - Q6)&gt;0,"P","N"),(R6/Q6)-1)</f>
        <v>-4.1012112848708426E-2</v>
      </c>
      <c r="S24" s="9">
        <f>IF(MIN(R6, S6)&lt;=0,IF((S6 - R6)&gt;0,"P","N"),(S6/R6)-1)</f>
        <v>3.8435003174883446</v>
      </c>
      <c r="T24" s="9">
        <f>IF(MIN(S6, T6)&lt;=0,IF((T6 - S6)&gt;0,"P","N"),(T6/S6)-1)</f>
        <v>-0.50253435129191049</v>
      </c>
      <c r="V24" s="9">
        <f>IF(MIN(T6, V6)&lt;=0,IF((V6 - T6)&gt;0,"P","N"),(V6/T6)-1)</f>
        <v>1.0999846177825749</v>
      </c>
      <c r="W24" s="9">
        <f>IF(MIN(V6, W6)&lt;=0,IF((W6 - V6)&gt;0,"P","N"),(W6/V6)-1)</f>
        <v>0.90748730967062441</v>
      </c>
      <c r="X24" s="9">
        <f>IF(MIN(W6, X6)&lt;=0,IF((X6 - W6)&gt;0,"P","N"),(X6/W6)-1)</f>
        <v>0.74867703047826506</v>
      </c>
      <c r="Y24" s="18">
        <f t="shared" ref="Y24:BK24" si="51">IF(MIN(X6, Y6)&lt;=0,IF((Y6 - X6)&gt;0,"P","N"),(Y6/X6)-1)</f>
        <v>0.61765855014456861</v>
      </c>
      <c r="Z24" s="18">
        <f t="shared" si="51"/>
        <v>0.50956830386926932</v>
      </c>
      <c r="AA24" s="18">
        <f t="shared" si="51"/>
        <v>0.42039385069214696</v>
      </c>
      <c r="AB24" s="18">
        <f t="shared" si="51"/>
        <v>0.34682492682102128</v>
      </c>
      <c r="AC24" s="18">
        <f t="shared" si="51"/>
        <v>0.28613056462734265</v>
      </c>
      <c r="AD24" s="18">
        <f t="shared" si="51"/>
        <v>0.23605771581755763</v>
      </c>
      <c r="AE24" s="18">
        <f t="shared" si="51"/>
        <v>0.19474761554948494</v>
      </c>
      <c r="AF24" s="18">
        <f t="shared" si="51"/>
        <v>0.16066678282832503</v>
      </c>
      <c r="AG24" s="18">
        <f t="shared" si="51"/>
        <v>0.1325500958333683</v>
      </c>
      <c r="AH24" s="18">
        <f t="shared" si="51"/>
        <v>0.10935382906252866</v>
      </c>
      <c r="AI24" s="18">
        <f t="shared" si="51"/>
        <v>9.0216908976586074E-2</v>
      </c>
      <c r="AJ24" s="18">
        <f t="shared" si="51"/>
        <v>7.4428949905683606E-2</v>
      </c>
      <c r="AK24" s="18">
        <f t="shared" si="51"/>
        <v>6.1403883672189075E-2</v>
      </c>
      <c r="AL24" s="18">
        <f t="shared" si="51"/>
        <v>5.0658204029556009E-2</v>
      </c>
      <c r="AM24" s="18">
        <f t="shared" si="51"/>
        <v>4.1793018324383757E-2</v>
      </c>
      <c r="AN24" s="18">
        <f t="shared" si="51"/>
        <v>3.4479240117616383E-2</v>
      </c>
      <c r="AO24" s="18">
        <f t="shared" si="51"/>
        <v>2.8445373097033544E-2</v>
      </c>
      <c r="AP24" s="18">
        <f t="shared" si="51"/>
        <v>2.346743280505259E-2</v>
      </c>
      <c r="AQ24" s="18">
        <f t="shared" si="51"/>
        <v>1.9360632064168382E-2</v>
      </c>
      <c r="AR24" s="18">
        <f t="shared" si="51"/>
        <v>1.5972521452939148E-2</v>
      </c>
      <c r="AS24" s="18">
        <f t="shared" si="51"/>
        <v>1.3177330198674619E-2</v>
      </c>
      <c r="AT24" s="18">
        <f t="shared" si="51"/>
        <v>1.0871297413906689E-2</v>
      </c>
      <c r="AU24" s="18">
        <f t="shared" si="51"/>
        <v>8.9688203664728405E-3</v>
      </c>
      <c r="AV24" s="18">
        <f t="shared" si="51"/>
        <v>7.3992768023403155E-3</v>
      </c>
      <c r="AW24" s="18">
        <f t="shared" si="51"/>
        <v>6.1044033619306326E-3</v>
      </c>
      <c r="AX24" s="18">
        <f t="shared" si="51"/>
        <v>5.0361327735928274E-3</v>
      </c>
      <c r="AY24" s="18">
        <f t="shared" si="51"/>
        <v>4.1548095382140104E-3</v>
      </c>
      <c r="AZ24" s="18">
        <f t="shared" si="51"/>
        <v>3.4277178690265142E-3</v>
      </c>
      <c r="BA24" s="18">
        <f t="shared" si="51"/>
        <v>2.8278672419470574E-3</v>
      </c>
      <c r="BB24" s="18">
        <f t="shared" si="51"/>
        <v>2.3329904746061114E-3</v>
      </c>
      <c r="BC24" s="18">
        <f t="shared" si="51"/>
        <v>1.9247171415501807E-3</v>
      </c>
      <c r="BD24" s="18">
        <f t="shared" si="51"/>
        <v>1.5878916417788602E-3</v>
      </c>
      <c r="BE24" s="18">
        <f t="shared" si="51"/>
        <v>1.3100106044676707E-3</v>
      </c>
      <c r="BF24" s="18">
        <f t="shared" si="51"/>
        <v>1.0807587486858505E-3</v>
      </c>
      <c r="BG24" s="18">
        <f t="shared" si="51"/>
        <v>8.9162596766589886E-4</v>
      </c>
      <c r="BH24" s="18">
        <f t="shared" si="51"/>
        <v>7.3559142332424443E-4</v>
      </c>
      <c r="BI24" s="18">
        <f t="shared" si="51"/>
        <v>6.0686292424239063E-4</v>
      </c>
      <c r="BJ24" s="18">
        <f t="shared" si="51"/>
        <v>5.0066191250008885E-4</v>
      </c>
      <c r="BK24" s="18">
        <f t="shared" si="51"/>
        <v>4.1304607781267322E-4</v>
      </c>
    </row>
    <row r="25" spans="1:67" s="10" customFormat="1">
      <c r="A25" s="7" t="s">
        <v>42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>
        <f>IF(MIN(Q8, R8)&lt;=0,IF((R8 - Q8)&gt;0,"P","N"),(R8/Q8)-1)</f>
        <v>-0.24446216727435721</v>
      </c>
      <c r="S25" s="7">
        <f>IF(MIN(R8, S8)&lt;=0,IF((S8 - R8)&gt;0,"P","N"),(S8/R8)-1)</f>
        <v>4.180320389976302</v>
      </c>
      <c r="T25" s="7">
        <f>IF(MIN(S8, T8)&lt;=0,IF((T8 - S8)&gt;0,"P","N"),(T8/S8)-1)</f>
        <v>-0.44910012499610408</v>
      </c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67">
      <c r="BO26" s="8"/>
    </row>
    <row r="27" spans="1:67">
      <c r="A27" s="4" t="s">
        <v>43</v>
      </c>
      <c r="B27" s="4">
        <v>0.16</v>
      </c>
      <c r="C27" s="4">
        <v>0.18</v>
      </c>
      <c r="D27" s="4">
        <v>0.17</v>
      </c>
      <c r="E27" s="4">
        <v>0.18</v>
      </c>
      <c r="F27" s="4">
        <v>0.23</v>
      </c>
      <c r="G27" s="4">
        <v>0.38</v>
      </c>
      <c r="H27" s="4">
        <v>0.42</v>
      </c>
      <c r="J27" s="4">
        <v>0.67</v>
      </c>
      <c r="K27" s="4">
        <v>0.49</v>
      </c>
      <c r="L27" s="4">
        <v>0.62</v>
      </c>
      <c r="M27" s="4">
        <v>0.62</v>
      </c>
      <c r="N27" s="4">
        <v>0.55000000000000004</v>
      </c>
      <c r="O27" s="4">
        <v>0.65</v>
      </c>
      <c r="P27" s="4">
        <v>0.57999999999999996</v>
      </c>
      <c r="Q27" s="4">
        <f>AVERAGE(B27:E27)</f>
        <v>0.17249999999999999</v>
      </c>
      <c r="R27" s="4">
        <f>AVERAGE(F27:I27)</f>
        <v>0.34333333333333332</v>
      </c>
      <c r="S27" s="4">
        <f>AVERAGE(J27:M27)</f>
        <v>0.60000000000000009</v>
      </c>
      <c r="T27" s="4">
        <f>AVERAGE(N27:P27)</f>
        <v>0.59333333333333338</v>
      </c>
      <c r="U27" s="5" t="s">
        <v>44</v>
      </c>
      <c r="V27" s="7">
        <f>$W1</f>
        <v>0.17499999999999999</v>
      </c>
      <c r="W27" s="7">
        <f>$W1</f>
        <v>0.17499999999999999</v>
      </c>
      <c r="X27" s="7">
        <f>$W1</f>
        <v>0.17499999999999999</v>
      </c>
      <c r="Y27" s="7">
        <f t="shared" ref="Y27:BK27" si="52">$W1</f>
        <v>0.17499999999999999</v>
      </c>
      <c r="Z27" s="7">
        <f t="shared" si="52"/>
        <v>0.17499999999999999</v>
      </c>
      <c r="AA27" s="7">
        <f t="shared" si="52"/>
        <v>0.17499999999999999</v>
      </c>
      <c r="AB27" s="7">
        <f t="shared" si="52"/>
        <v>0.17499999999999999</v>
      </c>
      <c r="AC27" s="7">
        <f t="shared" si="52"/>
        <v>0.17499999999999999</v>
      </c>
      <c r="AD27" s="7">
        <f t="shared" si="52"/>
        <v>0.17499999999999999</v>
      </c>
      <c r="AE27" s="7">
        <f t="shared" si="52"/>
        <v>0.17499999999999999</v>
      </c>
      <c r="AF27" s="7">
        <f t="shared" si="52"/>
        <v>0.17499999999999999</v>
      </c>
      <c r="AG27" s="10">
        <f t="shared" si="52"/>
        <v>0.17499999999999999</v>
      </c>
      <c r="AH27" s="10">
        <f t="shared" si="52"/>
        <v>0.17499999999999999</v>
      </c>
      <c r="AI27" s="10">
        <f t="shared" si="52"/>
        <v>0.17499999999999999</v>
      </c>
      <c r="AJ27" s="10">
        <f t="shared" si="52"/>
        <v>0.17499999999999999</v>
      </c>
      <c r="AK27" s="10">
        <f t="shared" si="52"/>
        <v>0.17499999999999999</v>
      </c>
      <c r="AL27" s="10">
        <f t="shared" si="52"/>
        <v>0.17499999999999999</v>
      </c>
      <c r="AM27" s="10">
        <f t="shared" si="52"/>
        <v>0.17499999999999999</v>
      </c>
      <c r="AN27" s="10">
        <f t="shared" si="52"/>
        <v>0.17499999999999999</v>
      </c>
      <c r="AO27" s="10">
        <f t="shared" si="52"/>
        <v>0.17499999999999999</v>
      </c>
      <c r="AP27" s="10">
        <f t="shared" si="52"/>
        <v>0.17499999999999999</v>
      </c>
      <c r="AQ27" s="10">
        <f t="shared" si="52"/>
        <v>0.17499999999999999</v>
      </c>
      <c r="AR27" s="10">
        <f t="shared" si="52"/>
        <v>0.17499999999999999</v>
      </c>
      <c r="AS27" s="10">
        <f t="shared" si="52"/>
        <v>0.17499999999999999</v>
      </c>
      <c r="AT27" s="10">
        <f t="shared" si="52"/>
        <v>0.17499999999999999</v>
      </c>
      <c r="AU27" s="10">
        <f t="shared" si="52"/>
        <v>0.17499999999999999</v>
      </c>
      <c r="AV27" s="10">
        <f t="shared" si="52"/>
        <v>0.17499999999999999</v>
      </c>
      <c r="AW27" s="10">
        <f t="shared" si="52"/>
        <v>0.17499999999999999</v>
      </c>
      <c r="AX27" s="10">
        <f t="shared" si="52"/>
        <v>0.17499999999999999</v>
      </c>
      <c r="AY27" s="10">
        <f t="shared" si="52"/>
        <v>0.17499999999999999</v>
      </c>
      <c r="AZ27" s="10">
        <f t="shared" si="52"/>
        <v>0.17499999999999999</v>
      </c>
      <c r="BA27" s="10">
        <f t="shared" si="52"/>
        <v>0.17499999999999999</v>
      </c>
      <c r="BB27" s="10">
        <f t="shared" si="52"/>
        <v>0.17499999999999999</v>
      </c>
      <c r="BC27" s="10">
        <f t="shared" si="52"/>
        <v>0.17499999999999999</v>
      </c>
      <c r="BD27" s="10">
        <f t="shared" si="52"/>
        <v>0.17499999999999999</v>
      </c>
      <c r="BE27" s="10">
        <f t="shared" si="52"/>
        <v>0.17499999999999999</v>
      </c>
      <c r="BF27" s="10">
        <f t="shared" si="52"/>
        <v>0.17499999999999999</v>
      </c>
      <c r="BG27" s="10">
        <f t="shared" si="52"/>
        <v>0.17499999999999999</v>
      </c>
      <c r="BH27" s="10">
        <f t="shared" si="52"/>
        <v>0.17499999999999999</v>
      </c>
      <c r="BI27" s="10">
        <f t="shared" si="52"/>
        <v>0.17499999999999999</v>
      </c>
      <c r="BJ27" s="10">
        <f t="shared" si="52"/>
        <v>0.17499999999999999</v>
      </c>
      <c r="BK27" s="10">
        <f t="shared" si="52"/>
        <v>0.17499999999999999</v>
      </c>
      <c r="BM27" s="5" t="s">
        <v>44</v>
      </c>
      <c r="BN27" s="7">
        <f>W1</f>
        <v>0.17499999999999999</v>
      </c>
      <c r="BO27" s="8"/>
    </row>
    <row r="28" spans="1:67">
      <c r="A28" s="4" t="s">
        <v>36</v>
      </c>
      <c r="B28" s="5">
        <v>78541340</v>
      </c>
      <c r="C28" s="5">
        <f>C18</f>
        <v>89338089</v>
      </c>
      <c r="D28" s="4">
        <f t="shared" ref="D28:O28" si="53">D18</f>
        <v>90794938</v>
      </c>
      <c r="E28" s="4">
        <f t="shared" si="53"/>
        <v>87462605</v>
      </c>
      <c r="F28" s="4">
        <f t="shared" si="53"/>
        <v>96168219</v>
      </c>
      <c r="G28" s="4">
        <f t="shared" si="53"/>
        <v>105303701</v>
      </c>
      <c r="H28" s="4">
        <f t="shared" si="53"/>
        <v>119906933</v>
      </c>
      <c r="I28" s="4">
        <f t="shared" si="53"/>
        <v>0</v>
      </c>
      <c r="J28" s="4">
        <f t="shared" si="53"/>
        <v>139396350</v>
      </c>
      <c r="K28" s="4">
        <f t="shared" si="53"/>
        <v>145921411</v>
      </c>
      <c r="L28" s="4">
        <f t="shared" si="53"/>
        <v>146017780</v>
      </c>
      <c r="M28" s="4">
        <f t="shared" si="53"/>
        <v>147117186</v>
      </c>
      <c r="N28" s="4">
        <f t="shared" si="53"/>
        <v>147345776</v>
      </c>
      <c r="O28" s="4">
        <f t="shared" si="53"/>
        <v>148014549</v>
      </c>
      <c r="P28" s="4">
        <v>165010000</v>
      </c>
      <c r="Q28" s="4">
        <f>AVERAGE(B28:E28)</f>
        <v>86534243</v>
      </c>
      <c r="R28" s="4">
        <f>AVERAGE(F28:I28)</f>
        <v>80344713.25</v>
      </c>
      <c r="S28" s="5">
        <f t="shared" ref="S28:S34" si="54">AVERAGE(J28:M28)</f>
        <v>144613181.75</v>
      </c>
      <c r="T28" s="4">
        <f>P28</f>
        <v>165010000</v>
      </c>
      <c r="U28" s="7" t="s">
        <v>45</v>
      </c>
      <c r="V28" s="5">
        <f>SUM($T16:V16)</f>
        <v>1273288.3001381024</v>
      </c>
      <c r="W28" s="5">
        <f>SUM($T16:W16)</f>
        <v>17114956.14475555</v>
      </c>
      <c r="X28" s="5">
        <f>SUM($T16:X16)</f>
        <v>52687710.817053787</v>
      </c>
      <c r="Y28" s="5">
        <f>SUM($T16:Y16)</f>
        <v>117702528.76171525</v>
      </c>
      <c r="Z28" s="5">
        <f>SUM($T16:Z16)</f>
        <v>223075445.55838788</v>
      </c>
      <c r="AA28" s="5">
        <f>SUM($T16:AA16)</f>
        <v>379826716.11921191</v>
      </c>
      <c r="AB28" s="5">
        <f>SUM($T16:AB16)</f>
        <v>597897160.0657599</v>
      </c>
      <c r="AC28" s="5">
        <f>SUM($T16:AC16)</f>
        <v>885152437.12527633</v>
      </c>
      <c r="AD28" s="5">
        <f>SUM($T16:AD16)</f>
        <v>1246758074.9399261</v>
      </c>
      <c r="AE28" s="5">
        <f>SUM($T16:AE16)</f>
        <v>1684981071.0284653</v>
      </c>
      <c r="AF28" s="5">
        <f>SUM($T16:AF16)</f>
        <v>2199364191.97649</v>
      </c>
      <c r="AG28" s="8">
        <f>SUM($T16:AG16)</f>
        <v>2787156912.0333281</v>
      </c>
      <c r="AH28" s="8">
        <f>SUM($T16:AH16)</f>
        <v>3443873737.4999504</v>
      </c>
      <c r="AI28" s="8">
        <f>SUM($T16:AI16)</f>
        <v>4163870982.0870118</v>
      </c>
      <c r="AJ28" s="8">
        <f>SUM($T16:AJ16)</f>
        <v>4940867895.5901318</v>
      </c>
      <c r="AK28" s="8">
        <f>SUM($T16:AK16)</f>
        <v>5768372983.4084015</v>
      </c>
      <c r="AL28" s="8">
        <f>SUM($T16:AL16)</f>
        <v>6640003768.0296726</v>
      </c>
      <c r="AM28" s="8">
        <f>SUM($T16:AM16)</f>
        <v>7549706046.046916</v>
      </c>
      <c r="AN28" s="8">
        <f>SUM($T16:AN16)</f>
        <v>8491888004.1367559</v>
      </c>
      <c r="AO28" s="8">
        <f>SUM($T16:AO16)</f>
        <v>9461487723.9778614</v>
      </c>
      <c r="AP28" s="8">
        <f>SUM($T16:AP16)</f>
        <v>10453992002.511761</v>
      </c>
      <c r="AQ28" s="8">
        <f>SUM($T16:AQ16)</f>
        <v>11465421905.517391</v>
      </c>
      <c r="AR28" s="8">
        <f>SUM($T16:AR16)</f>
        <v>12492297307.807079</v>
      </c>
      <c r="AS28" s="8">
        <f>SUM($T16:AS16)</f>
        <v>13531589576.188171</v>
      </c>
      <c r="AT28" s="8">
        <f>SUM($T16:AT16)</f>
        <v>14580668871.352779</v>
      </c>
      <c r="AU28" s="8">
        <f>SUM($T16:AU16)</f>
        <v>15637250397.886585</v>
      </c>
      <c r="AV28" s="8">
        <f>SUM($T16:AV16)</f>
        <v>16699342304.980251</v>
      </c>
      <c r="AW28" s="8">
        <f>SUM($T16:AW16)</f>
        <v>17765196762.433949</v>
      </c>
      <c r="AX28" s="8">
        <f>SUM($T16:AX16)</f>
        <v>18833264917.204212</v>
      </c>
      <c r="AY28" s="8">
        <f>SUM($T16:AY16)</f>
        <v>19902155888.243519</v>
      </c>
      <c r="AZ28" s="8">
        <f>SUM($T16:AZ16)</f>
        <v>20970599607.380001</v>
      </c>
      <c r="BA28" s="8">
        <f>SUM($T16:BA16)</f>
        <v>22037413102.146034</v>
      </c>
      <c r="BB28" s="8">
        <f>SUM($T16:BB16)</f>
        <v>23101469697.65815</v>
      </c>
      <c r="BC28" s="8">
        <f>SUM($T16:BC16)</f>
        <v>24161670555.747494</v>
      </c>
      <c r="BD28" s="8">
        <f>SUM($T16:BD16)</f>
        <v>25216917946.899017</v>
      </c>
      <c r="BE28" s="8">
        <f>SUM($T16:BE16)</f>
        <v>26266089647.700089</v>
      </c>
      <c r="BF28" s="8">
        <f>SUM($T16:BF16)</f>
        <v>27308013862.165905</v>
      </c>
      <c r="BG28" s="8">
        <f>SUM($T16:BG16)</f>
        <v>28341444071.929455</v>
      </c>
      <c r="BH28" s="8">
        <f>SUM($T16:BH16)</f>
        <v>29365033222.820171</v>
      </c>
      <c r="BI28" s="8">
        <f>SUM($T16:BI16)</f>
        <v>30377306650.451778</v>
      </c>
      <c r="BJ28" s="8">
        <f>SUM($T16:BJ16)</f>
        <v>31376633132.809971</v>
      </c>
      <c r="BK28" s="8">
        <f>SUM($T16:BK16)</f>
        <v>32361193431.823078</v>
      </c>
      <c r="BM28" s="7" t="s">
        <v>45</v>
      </c>
      <c r="BN28" s="5">
        <f>BK28</f>
        <v>32361193431.823078</v>
      </c>
    </row>
    <row r="29" spans="1:67" s="2" customFormat="1">
      <c r="A29" s="3" t="s">
        <v>46</v>
      </c>
      <c r="B29" s="6">
        <f>B27*B28</f>
        <v>12566614.4</v>
      </c>
      <c r="C29" s="6">
        <f t="shared" ref="C29:O29" si="55">C27*C28</f>
        <v>16080856.02</v>
      </c>
      <c r="D29" s="3">
        <f t="shared" si="55"/>
        <v>15435139.460000001</v>
      </c>
      <c r="E29" s="3">
        <f t="shared" si="55"/>
        <v>15743268.899999999</v>
      </c>
      <c r="F29" s="3">
        <f t="shared" si="55"/>
        <v>22118690.370000001</v>
      </c>
      <c r="G29" s="3">
        <f t="shared" si="55"/>
        <v>40015406.380000003</v>
      </c>
      <c r="H29" s="3">
        <f t="shared" si="55"/>
        <v>50360911.859999999</v>
      </c>
      <c r="I29" s="3">
        <f t="shared" si="55"/>
        <v>0</v>
      </c>
      <c r="J29" s="3">
        <f t="shared" si="55"/>
        <v>93395554.5</v>
      </c>
      <c r="K29" s="3">
        <f t="shared" si="55"/>
        <v>71501491.390000001</v>
      </c>
      <c r="L29" s="3">
        <f t="shared" si="55"/>
        <v>90531023.599999994</v>
      </c>
      <c r="M29" s="3">
        <f t="shared" si="55"/>
        <v>91212655.319999993</v>
      </c>
      <c r="N29" s="3">
        <f t="shared" si="55"/>
        <v>81040176.800000012</v>
      </c>
      <c r="O29" s="3">
        <f t="shared" si="55"/>
        <v>96209456.850000009</v>
      </c>
      <c r="P29" s="3">
        <f>P27*P28</f>
        <v>95705800</v>
      </c>
      <c r="Q29" s="3">
        <f>AVERAGE(B29:E29)</f>
        <v>14956469.695</v>
      </c>
      <c r="R29" s="3">
        <f>AVERAGE(F29:I29)</f>
        <v>28123752.1525</v>
      </c>
      <c r="S29" s="6">
        <f t="shared" si="54"/>
        <v>86660181.202499986</v>
      </c>
      <c r="T29" s="3">
        <f t="shared" ref="T28:T34" si="56">AVERAGE(N29:P29)</f>
        <v>90985144.550000012</v>
      </c>
      <c r="U29" s="7" t="s">
        <v>47</v>
      </c>
      <c r="V29" s="5">
        <f>P32</f>
        <v>4410159</v>
      </c>
      <c r="W29" s="6">
        <f>$P32</f>
        <v>4410159</v>
      </c>
      <c r="X29" s="6">
        <f>$P32</f>
        <v>4410159</v>
      </c>
      <c r="Y29" s="6">
        <f t="shared" ref="Y29:BK29" si="57">$P32</f>
        <v>4410159</v>
      </c>
      <c r="Z29" s="6">
        <f t="shared" si="57"/>
        <v>4410159</v>
      </c>
      <c r="AA29" s="6">
        <f t="shared" si="57"/>
        <v>4410159</v>
      </c>
      <c r="AB29" s="6">
        <f t="shared" si="57"/>
        <v>4410159</v>
      </c>
      <c r="AC29" s="6">
        <f t="shared" si="57"/>
        <v>4410159</v>
      </c>
      <c r="AD29" s="6">
        <f t="shared" si="57"/>
        <v>4410159</v>
      </c>
      <c r="AE29" s="6">
        <f t="shared" si="57"/>
        <v>4410159</v>
      </c>
      <c r="AF29" s="6">
        <f t="shared" si="57"/>
        <v>4410159</v>
      </c>
      <c r="AG29" s="6">
        <f t="shared" si="57"/>
        <v>4410159</v>
      </c>
      <c r="AH29" s="6">
        <f t="shared" si="57"/>
        <v>4410159</v>
      </c>
      <c r="AI29" s="6">
        <f t="shared" si="57"/>
        <v>4410159</v>
      </c>
      <c r="AJ29" s="6">
        <f t="shared" si="57"/>
        <v>4410159</v>
      </c>
      <c r="AK29" s="6">
        <f t="shared" si="57"/>
        <v>4410159</v>
      </c>
      <c r="AL29" s="6">
        <f t="shared" si="57"/>
        <v>4410159</v>
      </c>
      <c r="AM29" s="6">
        <f t="shared" si="57"/>
        <v>4410159</v>
      </c>
      <c r="AN29" s="6">
        <f t="shared" si="57"/>
        <v>4410159</v>
      </c>
      <c r="AO29" s="6">
        <f t="shared" si="57"/>
        <v>4410159</v>
      </c>
      <c r="AP29" s="6">
        <f t="shared" si="57"/>
        <v>4410159</v>
      </c>
      <c r="AQ29" s="6">
        <f t="shared" si="57"/>
        <v>4410159</v>
      </c>
      <c r="AR29" s="6">
        <f t="shared" si="57"/>
        <v>4410159</v>
      </c>
      <c r="AS29" s="6">
        <f t="shared" si="57"/>
        <v>4410159</v>
      </c>
      <c r="AT29" s="6">
        <f t="shared" si="57"/>
        <v>4410159</v>
      </c>
      <c r="AU29" s="6">
        <f t="shared" si="57"/>
        <v>4410159</v>
      </c>
      <c r="AV29" s="6">
        <f t="shared" si="57"/>
        <v>4410159</v>
      </c>
      <c r="AW29" s="6">
        <f t="shared" si="57"/>
        <v>4410159</v>
      </c>
      <c r="AX29" s="6">
        <f t="shared" si="57"/>
        <v>4410159</v>
      </c>
      <c r="AY29" s="6">
        <f t="shared" si="57"/>
        <v>4410159</v>
      </c>
      <c r="AZ29" s="6">
        <f t="shared" si="57"/>
        <v>4410159</v>
      </c>
      <c r="BA29" s="6">
        <f t="shared" si="57"/>
        <v>4410159</v>
      </c>
      <c r="BB29" s="6">
        <f t="shared" si="57"/>
        <v>4410159</v>
      </c>
      <c r="BC29" s="6">
        <f t="shared" si="57"/>
        <v>4410159</v>
      </c>
      <c r="BD29" s="6">
        <f t="shared" si="57"/>
        <v>4410159</v>
      </c>
      <c r="BE29" s="6">
        <f t="shared" si="57"/>
        <v>4410159</v>
      </c>
      <c r="BF29" s="6">
        <f t="shared" si="57"/>
        <v>4410159</v>
      </c>
      <c r="BG29" s="6">
        <f t="shared" si="57"/>
        <v>4410159</v>
      </c>
      <c r="BH29" s="6">
        <f t="shared" si="57"/>
        <v>4410159</v>
      </c>
      <c r="BI29" s="6">
        <f t="shared" si="57"/>
        <v>4410159</v>
      </c>
      <c r="BJ29" s="6">
        <f t="shared" si="57"/>
        <v>4410159</v>
      </c>
      <c r="BK29" s="6">
        <f t="shared" si="57"/>
        <v>4410159</v>
      </c>
      <c r="BM29" s="7" t="s">
        <v>47</v>
      </c>
      <c r="BN29" s="5">
        <f>P32</f>
        <v>4410159</v>
      </c>
    </row>
    <row r="30" spans="1:67">
      <c r="A30" s="4" t="s">
        <v>48</v>
      </c>
      <c r="B30" s="5">
        <f>51854+790799+22269</f>
        <v>864922</v>
      </c>
      <c r="C30" s="5">
        <f>15799+96174+707809+140765+30530</f>
        <v>991077</v>
      </c>
      <c r="D30" s="4">
        <f>574809+96174+1318196+146591+30530</f>
        <v>2166300</v>
      </c>
      <c r="E30" s="4">
        <f>1487373+1530508+350257+90283+30530</f>
        <v>3488951</v>
      </c>
      <c r="F30" s="4">
        <f>320807+3063262+180050+70530</f>
        <v>3634649</v>
      </c>
      <c r="G30" s="4">
        <f>2340855+320807+2451537+238743+30530</f>
        <v>5382472</v>
      </c>
      <c r="H30" s="4">
        <f>1617448+2151558+108432</f>
        <v>3877438</v>
      </c>
      <c r="J30" s="4">
        <f>5009055+338219+3982286+300571</f>
        <v>9630131</v>
      </c>
      <c r="K30" s="4">
        <f>5398244+338219+5446255+446645</f>
        <v>11629363</v>
      </c>
      <c r="L30" s="4">
        <f>2683162+4449563+557543</f>
        <v>7690268</v>
      </c>
      <c r="M30" s="4">
        <f>2097199+5886256+431462</f>
        <v>8414917</v>
      </c>
      <c r="N30" s="4">
        <f>2118426+5422925+964720</f>
        <v>8506071</v>
      </c>
      <c r="O30" s="4">
        <f>3371879+650138+6002259+663563</f>
        <v>10687839</v>
      </c>
      <c r="P30" s="4">
        <f>1853555+6712709+488585</f>
        <v>9054849</v>
      </c>
      <c r="Q30" s="4">
        <f>AVERAGE(B30:E30)</f>
        <v>1877812.5</v>
      </c>
      <c r="R30" s="4">
        <f>AVERAGE(F30:I30)</f>
        <v>4298186.333333333</v>
      </c>
      <c r="S30" s="5">
        <f t="shared" si="54"/>
        <v>9341169.75</v>
      </c>
      <c r="T30" s="4">
        <f t="shared" si="56"/>
        <v>9416253</v>
      </c>
      <c r="U30" s="7" t="s">
        <v>49</v>
      </c>
      <c r="V30" s="5">
        <f>SUM(V28, V29)</f>
        <v>5683447.3001381028</v>
      </c>
      <c r="W30" s="5">
        <f>SUM(W28, W29)</f>
        <v>21525115.14475555</v>
      </c>
      <c r="X30" s="5">
        <f>SUM(X28, X29)</f>
        <v>57097869.817053787</v>
      </c>
      <c r="Y30" s="5">
        <f t="shared" ref="Y30:BK30" si="58">SUM(Y28, Y29)</f>
        <v>122112687.76171525</v>
      </c>
      <c r="Z30" s="5">
        <f t="shared" si="58"/>
        <v>227485604.55838788</v>
      </c>
      <c r="AA30" s="5">
        <f t="shared" si="58"/>
        <v>384236875.11921191</v>
      </c>
      <c r="AB30" s="5">
        <f t="shared" si="58"/>
        <v>602307319.0657599</v>
      </c>
      <c r="AC30" s="5">
        <f t="shared" si="58"/>
        <v>889562596.12527633</v>
      </c>
      <c r="AD30" s="5">
        <f t="shared" si="58"/>
        <v>1251168233.9399261</v>
      </c>
      <c r="AE30" s="5">
        <f t="shared" si="58"/>
        <v>1689391230.0284653</v>
      </c>
      <c r="AF30" s="5">
        <f t="shared" si="58"/>
        <v>2203774350.97649</v>
      </c>
      <c r="AG30" s="8">
        <f t="shared" si="58"/>
        <v>2791567071.0333281</v>
      </c>
      <c r="AH30" s="8">
        <f t="shared" si="58"/>
        <v>3448283896.4999504</v>
      </c>
      <c r="AI30" s="8">
        <f t="shared" si="58"/>
        <v>4168281141.0870118</v>
      </c>
      <c r="AJ30" s="8">
        <f t="shared" si="58"/>
        <v>4945278054.5901318</v>
      </c>
      <c r="AK30" s="8">
        <f t="shared" si="58"/>
        <v>5772783142.4084015</v>
      </c>
      <c r="AL30" s="8">
        <f t="shared" si="58"/>
        <v>6644413927.0296726</v>
      </c>
      <c r="AM30" s="8">
        <f t="shared" si="58"/>
        <v>7554116205.046916</v>
      </c>
      <c r="AN30" s="8">
        <f t="shared" si="58"/>
        <v>8496298163.1367559</v>
      </c>
      <c r="AO30" s="8">
        <f t="shared" si="58"/>
        <v>9465897882.9778614</v>
      </c>
      <c r="AP30" s="8">
        <f t="shared" si="58"/>
        <v>10458402161.511761</v>
      </c>
      <c r="AQ30" s="8">
        <f t="shared" si="58"/>
        <v>11469832064.517391</v>
      </c>
      <c r="AR30" s="8">
        <f t="shared" si="58"/>
        <v>12496707466.807079</v>
      </c>
      <c r="AS30" s="8">
        <f t="shared" si="58"/>
        <v>13535999735.188171</v>
      </c>
      <c r="AT30" s="8">
        <f t="shared" si="58"/>
        <v>14585079030.352779</v>
      </c>
      <c r="AU30" s="8">
        <f t="shared" si="58"/>
        <v>15641660556.886585</v>
      </c>
      <c r="AV30" s="8">
        <f t="shared" si="58"/>
        <v>16703752463.980251</v>
      </c>
      <c r="AW30" s="8">
        <f t="shared" si="58"/>
        <v>17769606921.433949</v>
      </c>
      <c r="AX30" s="8">
        <f t="shared" si="58"/>
        <v>18837675076.204212</v>
      </c>
      <c r="AY30" s="8">
        <f t="shared" si="58"/>
        <v>19906566047.243519</v>
      </c>
      <c r="AZ30" s="8">
        <f t="shared" si="58"/>
        <v>20975009766.380001</v>
      </c>
      <c r="BA30" s="8">
        <f t="shared" si="58"/>
        <v>22041823261.146034</v>
      </c>
      <c r="BB30" s="8">
        <f t="shared" si="58"/>
        <v>23105879856.65815</v>
      </c>
      <c r="BC30" s="8">
        <f t="shared" si="58"/>
        <v>24166080714.747494</v>
      </c>
      <c r="BD30" s="8">
        <f t="shared" si="58"/>
        <v>25221328105.899017</v>
      </c>
      <c r="BE30" s="8">
        <f t="shared" si="58"/>
        <v>26270499806.700089</v>
      </c>
      <c r="BF30" s="8">
        <f t="shared" si="58"/>
        <v>27312424021.165905</v>
      </c>
      <c r="BG30" s="8">
        <f t="shared" si="58"/>
        <v>28345854230.929455</v>
      </c>
      <c r="BH30" s="8">
        <f t="shared" si="58"/>
        <v>29369443381.820171</v>
      </c>
      <c r="BI30" s="8">
        <f t="shared" si="58"/>
        <v>30381716809.451778</v>
      </c>
      <c r="BJ30" s="8">
        <f t="shared" si="58"/>
        <v>31381043291.809971</v>
      </c>
      <c r="BK30" s="8">
        <f t="shared" si="58"/>
        <v>32365603590.823078</v>
      </c>
      <c r="BM30" s="7" t="s">
        <v>49</v>
      </c>
      <c r="BN30" s="5">
        <f>BK30</f>
        <v>32365603590.823078</v>
      </c>
    </row>
    <row r="31" spans="1:67">
      <c r="A31" s="4" t="s">
        <v>50</v>
      </c>
      <c r="B31" s="5">
        <v>2120310</v>
      </c>
      <c r="C31" s="5">
        <v>3661117</v>
      </c>
      <c r="D31" s="4">
        <v>5032126</v>
      </c>
      <c r="E31" s="4">
        <v>5258148</v>
      </c>
      <c r="F31" s="4">
        <v>5693665</v>
      </c>
      <c r="G31" s="4">
        <v>8097893</v>
      </c>
      <c r="H31" s="4">
        <v>5790272</v>
      </c>
      <c r="J31" s="4">
        <v>5718495</v>
      </c>
      <c r="K31" s="4">
        <v>8867226</v>
      </c>
      <c r="L31" s="4">
        <v>4776548</v>
      </c>
      <c r="M31" s="4">
        <v>6262178</v>
      </c>
      <c r="N31" s="4">
        <f>5983912</f>
        <v>5983912</v>
      </c>
      <c r="O31" s="4">
        <v>5320246</v>
      </c>
      <c r="P31" s="4">
        <f>4644690</f>
        <v>4644690</v>
      </c>
      <c r="Q31" s="4">
        <f>AVERAGE(B31:E31)</f>
        <v>4017925.25</v>
      </c>
      <c r="R31" s="4">
        <f>AVERAGE(F31:I31)</f>
        <v>6527276.666666667</v>
      </c>
      <c r="S31" s="5">
        <f t="shared" si="54"/>
        <v>6406111.75</v>
      </c>
      <c r="T31" s="4">
        <f t="shared" si="56"/>
        <v>5316282.666666667</v>
      </c>
      <c r="U31" s="10" t="s">
        <v>36</v>
      </c>
      <c r="V31" s="5">
        <f>P28</f>
        <v>165010000</v>
      </c>
      <c r="W31" s="5">
        <f>$P28</f>
        <v>165010000</v>
      </c>
      <c r="X31" s="5">
        <f>$P28</f>
        <v>165010000</v>
      </c>
      <c r="Y31" s="5">
        <f t="shared" ref="Y31:BK31" si="59">$P28</f>
        <v>165010000</v>
      </c>
      <c r="Z31" s="5">
        <f t="shared" si="59"/>
        <v>165010000</v>
      </c>
      <c r="AA31" s="5">
        <f t="shared" si="59"/>
        <v>165010000</v>
      </c>
      <c r="AB31" s="5">
        <f t="shared" si="59"/>
        <v>165010000</v>
      </c>
      <c r="AC31" s="5">
        <f t="shared" si="59"/>
        <v>165010000</v>
      </c>
      <c r="AD31" s="5">
        <f t="shared" si="59"/>
        <v>165010000</v>
      </c>
      <c r="AE31" s="5">
        <f t="shared" si="59"/>
        <v>165010000</v>
      </c>
      <c r="AF31" s="5">
        <f t="shared" si="59"/>
        <v>165010000</v>
      </c>
      <c r="AG31" s="8">
        <f t="shared" si="59"/>
        <v>165010000</v>
      </c>
      <c r="AH31" s="8">
        <f t="shared" si="59"/>
        <v>165010000</v>
      </c>
      <c r="AI31" s="8">
        <f t="shared" si="59"/>
        <v>165010000</v>
      </c>
      <c r="AJ31" s="8">
        <f t="shared" si="59"/>
        <v>165010000</v>
      </c>
      <c r="AK31" s="8">
        <f t="shared" si="59"/>
        <v>165010000</v>
      </c>
      <c r="AL31" s="8">
        <f t="shared" si="59"/>
        <v>165010000</v>
      </c>
      <c r="AM31" s="8">
        <f t="shared" si="59"/>
        <v>165010000</v>
      </c>
      <c r="AN31" s="8">
        <f t="shared" si="59"/>
        <v>165010000</v>
      </c>
      <c r="AO31" s="8">
        <f t="shared" si="59"/>
        <v>165010000</v>
      </c>
      <c r="AP31" s="8">
        <f t="shared" si="59"/>
        <v>165010000</v>
      </c>
      <c r="AQ31" s="8">
        <f t="shared" si="59"/>
        <v>165010000</v>
      </c>
      <c r="AR31" s="8">
        <f t="shared" si="59"/>
        <v>165010000</v>
      </c>
      <c r="AS31" s="8">
        <f t="shared" si="59"/>
        <v>165010000</v>
      </c>
      <c r="AT31" s="8">
        <f t="shared" si="59"/>
        <v>165010000</v>
      </c>
      <c r="AU31" s="8">
        <f t="shared" si="59"/>
        <v>165010000</v>
      </c>
      <c r="AV31" s="8">
        <f t="shared" si="59"/>
        <v>165010000</v>
      </c>
      <c r="AW31" s="8">
        <f t="shared" si="59"/>
        <v>165010000</v>
      </c>
      <c r="AX31" s="8">
        <f t="shared" si="59"/>
        <v>165010000</v>
      </c>
      <c r="AY31" s="8">
        <f t="shared" si="59"/>
        <v>165010000</v>
      </c>
      <c r="AZ31" s="8">
        <f t="shared" si="59"/>
        <v>165010000</v>
      </c>
      <c r="BA31" s="8">
        <f t="shared" si="59"/>
        <v>165010000</v>
      </c>
      <c r="BB31" s="8">
        <f t="shared" si="59"/>
        <v>165010000</v>
      </c>
      <c r="BC31" s="8">
        <f t="shared" si="59"/>
        <v>165010000</v>
      </c>
      <c r="BD31" s="8">
        <f t="shared" si="59"/>
        <v>165010000</v>
      </c>
      <c r="BE31" s="8">
        <f t="shared" si="59"/>
        <v>165010000</v>
      </c>
      <c r="BF31" s="8">
        <f t="shared" si="59"/>
        <v>165010000</v>
      </c>
      <c r="BG31" s="8">
        <f t="shared" si="59"/>
        <v>165010000</v>
      </c>
      <c r="BH31" s="8">
        <f t="shared" si="59"/>
        <v>165010000</v>
      </c>
      <c r="BI31" s="8">
        <f t="shared" si="59"/>
        <v>165010000</v>
      </c>
      <c r="BJ31" s="8">
        <f t="shared" si="59"/>
        <v>165010000</v>
      </c>
      <c r="BK31" s="8">
        <f t="shared" si="59"/>
        <v>165010000</v>
      </c>
      <c r="BM31" s="10" t="s">
        <v>36</v>
      </c>
      <c r="BN31" s="8">
        <f>P28</f>
        <v>165010000</v>
      </c>
    </row>
    <row r="32" spans="1:67" s="2" customFormat="1">
      <c r="A32" s="3" t="s">
        <v>47</v>
      </c>
      <c r="B32" s="6">
        <f>+B30-B31</f>
        <v>-1255388</v>
      </c>
      <c r="C32" s="6">
        <f>+C30-C31</f>
        <v>-2670040</v>
      </c>
      <c r="D32" s="3">
        <f t="shared" ref="D32:O32" si="60">+D30-D31</f>
        <v>-2865826</v>
      </c>
      <c r="E32" s="3">
        <f t="shared" si="60"/>
        <v>-1769197</v>
      </c>
      <c r="F32" s="3">
        <f>+F30-F31</f>
        <v>-2059016</v>
      </c>
      <c r="G32" s="3">
        <f t="shared" si="60"/>
        <v>-2715421</v>
      </c>
      <c r="H32" s="3">
        <f t="shared" si="60"/>
        <v>-1912834</v>
      </c>
      <c r="I32" s="3">
        <f t="shared" si="60"/>
        <v>0</v>
      </c>
      <c r="J32" s="3">
        <f t="shared" si="60"/>
        <v>3911636</v>
      </c>
      <c r="K32" s="3">
        <f t="shared" si="60"/>
        <v>2762137</v>
      </c>
      <c r="L32" s="3">
        <f t="shared" si="60"/>
        <v>2913720</v>
      </c>
      <c r="M32" s="3">
        <f t="shared" si="60"/>
        <v>2152739</v>
      </c>
      <c r="N32" s="3">
        <f t="shared" si="60"/>
        <v>2522159</v>
      </c>
      <c r="O32" s="3">
        <f t="shared" si="60"/>
        <v>5367593</v>
      </c>
      <c r="P32" s="3">
        <f>+P30-P31</f>
        <v>4410159</v>
      </c>
      <c r="Q32" s="3">
        <f>AVERAGE(B32:E32)</f>
        <v>-2140112.75</v>
      </c>
      <c r="R32" s="3">
        <f>AVERAGE(F32:I32)</f>
        <v>-1671817.75</v>
      </c>
      <c r="S32" s="6">
        <f t="shared" si="54"/>
        <v>2935058</v>
      </c>
      <c r="T32" s="3">
        <f t="shared" si="56"/>
        <v>4099970.3333333335</v>
      </c>
      <c r="U32" s="9" t="s">
        <v>51</v>
      </c>
      <c r="V32" s="3">
        <f>V30/V31</f>
        <v>3.444304769491608E-2</v>
      </c>
      <c r="W32" s="22">
        <f>W30/W31</f>
        <v>0.13044733740231229</v>
      </c>
      <c r="X32" s="22">
        <f>X30/X31</f>
        <v>0.34602672454429301</v>
      </c>
      <c r="Y32" s="22">
        <f t="shared" ref="Y32:BK32" si="61">Y30/Y31</f>
        <v>0.74003204509857123</v>
      </c>
      <c r="Z32" s="22">
        <f t="shared" si="61"/>
        <v>1.3786170811368272</v>
      </c>
      <c r="AA32" s="22">
        <f t="shared" si="61"/>
        <v>2.3285672087704499</v>
      </c>
      <c r="AB32" s="22">
        <f t="shared" si="61"/>
        <v>3.6501261685095443</v>
      </c>
      <c r="AC32" s="22">
        <f t="shared" si="61"/>
        <v>5.3909617364115894</v>
      </c>
      <c r="AD32" s="22">
        <f t="shared" si="61"/>
        <v>7.5823782433787414</v>
      </c>
      <c r="AE32" s="22">
        <f t="shared" si="61"/>
        <v>10.238114235673384</v>
      </c>
      <c r="AF32" s="22">
        <f t="shared" si="61"/>
        <v>13.355398769629053</v>
      </c>
      <c r="AG32" s="22">
        <f t="shared" si="61"/>
        <v>16.917563002444265</v>
      </c>
      <c r="AH32" s="22">
        <f t="shared" si="61"/>
        <v>20.897423771286288</v>
      </c>
      <c r="AI32" s="22">
        <f t="shared" si="61"/>
        <v>25.260778989679483</v>
      </c>
      <c r="AJ32" s="22">
        <f t="shared" si="61"/>
        <v>29.969565811709181</v>
      </c>
      <c r="AK32" s="22">
        <f t="shared" si="61"/>
        <v>34.98444423009758</v>
      </c>
      <c r="AL32" s="22">
        <f t="shared" si="61"/>
        <v>40.266734907155161</v>
      </c>
      <c r="AM32" s="22">
        <f t="shared" si="61"/>
        <v>45.77974792465254</v>
      </c>
      <c r="AN32" s="22">
        <f t="shared" si="61"/>
        <v>51.489595558673756</v>
      </c>
      <c r="AO32" s="22">
        <f t="shared" si="61"/>
        <v>57.365601375540038</v>
      </c>
      <c r="AP32" s="22">
        <f t="shared" si="61"/>
        <v>63.380414287084179</v>
      </c>
      <c r="AQ32" s="22">
        <f t="shared" si="61"/>
        <v>69.509921001862864</v>
      </c>
      <c r="AR32" s="22">
        <f t="shared" si="61"/>
        <v>75.733031130277439</v>
      </c>
      <c r="AS32" s="22">
        <f t="shared" si="61"/>
        <v>82.031390432023343</v>
      </c>
      <c r="AT32" s="22">
        <f t="shared" si="61"/>
        <v>88.389061452959083</v>
      </c>
      <c r="AU32" s="22">
        <f t="shared" si="61"/>
        <v>94.79219778732552</v>
      </c>
      <c r="AV32" s="22">
        <f t="shared" si="61"/>
        <v>101.22872834361706</v>
      </c>
      <c r="AW32" s="22">
        <f t="shared" si="61"/>
        <v>107.68806085348736</v>
      </c>
      <c r="AX32" s="22">
        <f t="shared" si="61"/>
        <v>114.16080889766809</v>
      </c>
      <c r="AY32" s="22">
        <f t="shared" si="61"/>
        <v>120.63854340490587</v>
      </c>
      <c r="AZ32" s="22">
        <f t="shared" si="61"/>
        <v>127.11356745882068</v>
      </c>
      <c r="BA32" s="22">
        <f t="shared" si="61"/>
        <v>133.57871196379634</v>
      </c>
      <c r="BB32" s="22">
        <f t="shared" si="61"/>
        <v>140.02714900101904</v>
      </c>
      <c r="BC32" s="22">
        <f t="shared" si="61"/>
        <v>146.45221934881215</v>
      </c>
      <c r="BD32" s="22">
        <f t="shared" si="61"/>
        <v>152.84727050420591</v>
      </c>
      <c r="BE32" s="22">
        <f t="shared" si="61"/>
        <v>159.20550152536265</v>
      </c>
      <c r="BF32" s="22">
        <f t="shared" si="61"/>
        <v>165.51981104882071</v>
      </c>
      <c r="BG32" s="22">
        <f t="shared" si="61"/>
        <v>171.78264487564059</v>
      </c>
      <c r="BH32" s="22">
        <f t="shared" si="61"/>
        <v>177.98583953590796</v>
      </c>
      <c r="BI32" s="22">
        <f t="shared" si="61"/>
        <v>184.12045821133131</v>
      </c>
      <c r="BJ32" s="22">
        <f t="shared" si="61"/>
        <v>190.17661530701153</v>
      </c>
      <c r="BK32" s="22">
        <f t="shared" si="61"/>
        <v>196.14328580584859</v>
      </c>
      <c r="BM32" s="9" t="s">
        <v>52</v>
      </c>
      <c r="BN32" s="23">
        <f>BN30/BN31</f>
        <v>196.14328580584859</v>
      </c>
    </row>
    <row r="33" spans="1:66">
      <c r="C33" s="5"/>
      <c r="S33" s="5"/>
      <c r="U33" s="10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6" s="2" customFormat="1">
      <c r="A34" s="3" t="s">
        <v>53</v>
      </c>
      <c r="B34" s="6">
        <f>+B29-B30+B31</f>
        <v>13822002.4</v>
      </c>
      <c r="C34" s="6">
        <f t="shared" ref="C34:O34" si="62">+C29-C30+C31</f>
        <v>18750896.02</v>
      </c>
      <c r="D34" s="3">
        <f t="shared" si="62"/>
        <v>18300965.460000001</v>
      </c>
      <c r="E34" s="3">
        <f t="shared" si="62"/>
        <v>17512465.899999999</v>
      </c>
      <c r="F34" s="3">
        <f>+F29-F30+F31</f>
        <v>24177706.370000001</v>
      </c>
      <c r="G34" s="3">
        <f t="shared" si="62"/>
        <v>42730827.380000003</v>
      </c>
      <c r="H34" s="3">
        <f t="shared" si="62"/>
        <v>52273745.859999999</v>
      </c>
      <c r="I34" s="3">
        <f t="shared" si="62"/>
        <v>0</v>
      </c>
      <c r="J34" s="3">
        <f t="shared" si="62"/>
        <v>89483918.5</v>
      </c>
      <c r="K34" s="3">
        <f t="shared" si="62"/>
        <v>68739354.390000001</v>
      </c>
      <c r="L34" s="3">
        <f t="shared" si="62"/>
        <v>87617303.599999994</v>
      </c>
      <c r="M34" s="3">
        <f t="shared" si="62"/>
        <v>89059916.319999993</v>
      </c>
      <c r="N34" s="3">
        <f t="shared" si="62"/>
        <v>78518017.800000012</v>
      </c>
      <c r="O34" s="3">
        <f t="shared" si="62"/>
        <v>90841863.850000009</v>
      </c>
      <c r="P34" s="3">
        <f>+P29-P30+P31</f>
        <v>91295641</v>
      </c>
      <c r="Q34" s="3">
        <f>AVERAGE(B34:E34)</f>
        <v>17096582.445</v>
      </c>
      <c r="R34" s="3">
        <f>AVERAGE(F34:I34)</f>
        <v>29795569.9025</v>
      </c>
      <c r="S34" s="6">
        <f t="shared" si="54"/>
        <v>83725123.202499986</v>
      </c>
      <c r="T34" s="3">
        <f t="shared" si="56"/>
        <v>86885174.216666684</v>
      </c>
      <c r="U34" s="4" t="s">
        <v>6</v>
      </c>
      <c r="V34" s="4">
        <v>0.59</v>
      </c>
      <c r="W34" s="1">
        <v>0.59</v>
      </c>
      <c r="X34" s="4">
        <v>0.59</v>
      </c>
      <c r="Y34" s="4">
        <v>0.59</v>
      </c>
      <c r="Z34" s="4">
        <v>0.59</v>
      </c>
      <c r="AA34" s="4">
        <v>0.59</v>
      </c>
      <c r="AB34" s="4">
        <v>0.59</v>
      </c>
      <c r="AC34" s="4">
        <v>0.59</v>
      </c>
      <c r="AD34" s="4">
        <v>0.59</v>
      </c>
      <c r="AE34" s="4">
        <v>0.59</v>
      </c>
      <c r="AF34" s="1">
        <v>0.59</v>
      </c>
      <c r="AG34" s="1">
        <v>0.59</v>
      </c>
      <c r="AH34" s="1">
        <v>0.59</v>
      </c>
      <c r="AI34" s="1">
        <v>0.59</v>
      </c>
      <c r="AJ34" s="1">
        <v>0.59</v>
      </c>
      <c r="AK34" s="1">
        <v>0.59</v>
      </c>
      <c r="AL34" s="1">
        <v>0.59</v>
      </c>
      <c r="AM34" s="1">
        <v>0.59</v>
      </c>
      <c r="AN34" s="1">
        <v>0.59</v>
      </c>
      <c r="AO34" s="1">
        <v>0.59</v>
      </c>
      <c r="AP34" s="1">
        <v>0.59</v>
      </c>
      <c r="AQ34" s="1">
        <v>0.59</v>
      </c>
      <c r="AR34" s="1">
        <v>0.59</v>
      </c>
      <c r="AS34" s="1">
        <v>0.59</v>
      </c>
      <c r="AT34" s="1">
        <v>0.59</v>
      </c>
      <c r="AU34" s="1">
        <v>0.59</v>
      </c>
      <c r="AV34" s="1">
        <v>0.59</v>
      </c>
      <c r="AW34" s="1">
        <v>0.59</v>
      </c>
      <c r="AX34" s="1">
        <v>0.59</v>
      </c>
      <c r="AY34" s="1">
        <v>0.59</v>
      </c>
      <c r="AZ34" s="1">
        <v>0.59</v>
      </c>
      <c r="BA34" s="1">
        <v>0.59</v>
      </c>
      <c r="BB34" s="1">
        <v>0.59</v>
      </c>
      <c r="BC34" s="1">
        <v>0.59</v>
      </c>
      <c r="BD34" s="1">
        <v>0.59</v>
      </c>
      <c r="BE34" s="1">
        <v>0.59</v>
      </c>
      <c r="BF34" s="1">
        <v>0.59</v>
      </c>
      <c r="BG34" s="1">
        <v>0.59</v>
      </c>
      <c r="BH34" s="1">
        <v>0.59</v>
      </c>
      <c r="BI34" s="1">
        <v>0.59</v>
      </c>
      <c r="BJ34" s="1">
        <v>0.59</v>
      </c>
      <c r="BK34" s="1">
        <v>0.59</v>
      </c>
      <c r="BM34" s="10" t="s">
        <v>6</v>
      </c>
      <c r="BN34" s="19">
        <v>0.59</v>
      </c>
    </row>
    <row r="35" spans="1:66" s="2" customFormat="1">
      <c r="A35" s="3" t="s">
        <v>54</v>
      </c>
      <c r="B35" s="9">
        <f>P34/B34</f>
        <v>6.6050951488765479</v>
      </c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66">
      <c r="B36" s="7"/>
      <c r="C36" s="6"/>
    </row>
    <row r="37" spans="1:66">
      <c r="A37" s="4" t="s">
        <v>55</v>
      </c>
      <c r="B37" s="7"/>
      <c r="C37" s="6"/>
    </row>
    <row r="39" spans="1:66">
      <c r="A39" s="4" t="s">
        <v>56</v>
      </c>
      <c r="E39" s="4" t="s">
        <v>57</v>
      </c>
    </row>
    <row r="40" spans="1:66">
      <c r="A40" s="4" t="s">
        <v>48</v>
      </c>
      <c r="E40" s="4" t="s">
        <v>58</v>
      </c>
    </row>
    <row r="41" spans="1:66">
      <c r="A41" s="4" t="s">
        <v>59</v>
      </c>
    </row>
    <row r="42" spans="1:66">
      <c r="A42" s="4" t="s">
        <v>60</v>
      </c>
    </row>
    <row r="43" spans="1:66">
      <c r="A43" s="4" t="s">
        <v>61</v>
      </c>
    </row>
    <row r="44" spans="1:66">
      <c r="A44" s="4" t="s">
        <v>62</v>
      </c>
    </row>
    <row r="45" spans="1:66">
      <c r="A45" s="4" t="s">
        <v>63</v>
      </c>
    </row>
    <row r="47" spans="1:66">
      <c r="C47" s="4" t="s">
        <v>64</v>
      </c>
      <c r="F47" s="4" t="s">
        <v>65</v>
      </c>
    </row>
    <row r="48" spans="1:66">
      <c r="F48" s="4" t="s">
        <v>66</v>
      </c>
    </row>
    <row r="49" spans="2:6">
      <c r="C49" s="4" t="s">
        <v>67</v>
      </c>
    </row>
    <row r="51" spans="2:6">
      <c r="C51" s="4">
        <v>1</v>
      </c>
      <c r="E51" s="12" t="s">
        <v>68</v>
      </c>
      <c r="F51" s="4" t="s">
        <v>69</v>
      </c>
    </row>
    <row r="52" spans="2:6">
      <c r="E52" s="4">
        <f>SUM(E53:E299)</f>
        <v>33.315324021871405</v>
      </c>
      <c r="F52" s="13">
        <f>SUM(F53:F299)</f>
        <v>247</v>
      </c>
    </row>
    <row r="53" spans="2:6">
      <c r="B53" s="4" t="s">
        <v>44</v>
      </c>
      <c r="C53" s="12">
        <v>0.03</v>
      </c>
      <c r="D53" s="11">
        <v>2020</v>
      </c>
      <c r="E53" s="4">
        <v>1</v>
      </c>
      <c r="F53" s="4">
        <v>1</v>
      </c>
    </row>
    <row r="54" spans="2:6">
      <c r="D54" s="11">
        <f>D53+1</f>
        <v>2021</v>
      </c>
      <c r="E54" s="4">
        <f>E53*(1-$C$53)</f>
        <v>0.97</v>
      </c>
      <c r="F54" s="4">
        <v>1</v>
      </c>
    </row>
    <row r="55" spans="2:6">
      <c r="D55" s="11">
        <f t="shared" ref="D55:D118" si="63">D54+1</f>
        <v>2022</v>
      </c>
      <c r="E55" s="4">
        <f>E54*(1-$C$53)</f>
        <v>0.94089999999999996</v>
      </c>
      <c r="F55" s="4">
        <v>1</v>
      </c>
    </row>
    <row r="56" spans="2:6">
      <c r="D56" s="11">
        <f t="shared" si="63"/>
        <v>2023</v>
      </c>
      <c r="E56" s="4">
        <f>E55*(1-$C$53)</f>
        <v>0.91267299999999996</v>
      </c>
      <c r="F56" s="4">
        <v>1</v>
      </c>
    </row>
    <row r="57" spans="2:6">
      <c r="D57" s="11">
        <f t="shared" si="63"/>
        <v>2024</v>
      </c>
      <c r="E57" s="4">
        <f t="shared" ref="E55:E118" si="64">E56*(1-$C$53)</f>
        <v>0.88529280999999993</v>
      </c>
      <c r="F57" s="4">
        <v>1</v>
      </c>
    </row>
    <row r="58" spans="2:6">
      <c r="D58" s="11">
        <f t="shared" si="63"/>
        <v>2025</v>
      </c>
      <c r="E58" s="4">
        <f t="shared" si="64"/>
        <v>0.8587340256999999</v>
      </c>
      <c r="F58" s="4">
        <v>1</v>
      </c>
    </row>
    <row r="59" spans="2:6">
      <c r="D59" s="11">
        <f t="shared" si="63"/>
        <v>2026</v>
      </c>
      <c r="E59" s="4">
        <f t="shared" si="64"/>
        <v>0.83297200492899992</v>
      </c>
      <c r="F59" s="4">
        <v>1</v>
      </c>
    </row>
    <row r="60" spans="2:6">
      <c r="D60" s="11">
        <f t="shared" si="63"/>
        <v>2027</v>
      </c>
      <c r="E60" s="4">
        <f t="shared" si="64"/>
        <v>0.80798284478112992</v>
      </c>
      <c r="F60" s="4">
        <v>1</v>
      </c>
    </row>
    <row r="61" spans="2:6">
      <c r="D61" s="11">
        <f t="shared" si="63"/>
        <v>2028</v>
      </c>
      <c r="E61" s="4">
        <f t="shared" si="64"/>
        <v>0.78374335943769602</v>
      </c>
      <c r="F61" s="4">
        <v>1</v>
      </c>
    </row>
    <row r="62" spans="2:6">
      <c r="D62" s="11">
        <f t="shared" si="63"/>
        <v>2029</v>
      </c>
      <c r="E62" s="4">
        <f t="shared" si="64"/>
        <v>0.76023105865456508</v>
      </c>
      <c r="F62" s="4">
        <v>1</v>
      </c>
    </row>
    <row r="63" spans="2:6">
      <c r="D63" s="11">
        <f t="shared" si="63"/>
        <v>2030</v>
      </c>
      <c r="E63" s="4">
        <f t="shared" si="64"/>
        <v>0.73742412689492809</v>
      </c>
      <c r="F63" s="4">
        <v>1</v>
      </c>
    </row>
    <row r="64" spans="2:6">
      <c r="D64" s="11">
        <f t="shared" si="63"/>
        <v>2031</v>
      </c>
      <c r="E64" s="4">
        <f t="shared" si="64"/>
        <v>0.71530140308808021</v>
      </c>
      <c r="F64" s="4">
        <v>1</v>
      </c>
    </row>
    <row r="65" spans="4:6">
      <c r="D65" s="11">
        <f t="shared" si="63"/>
        <v>2032</v>
      </c>
      <c r="E65" s="4">
        <f t="shared" si="64"/>
        <v>0.69384236099543783</v>
      </c>
      <c r="F65" s="4">
        <v>1</v>
      </c>
    </row>
    <row r="66" spans="4:6">
      <c r="D66" s="11">
        <f t="shared" si="63"/>
        <v>2033</v>
      </c>
      <c r="E66" s="4">
        <f t="shared" si="64"/>
        <v>0.67302709016557472</v>
      </c>
      <c r="F66" s="4">
        <v>1</v>
      </c>
    </row>
    <row r="67" spans="4:6">
      <c r="D67" s="11">
        <f t="shared" si="63"/>
        <v>2034</v>
      </c>
      <c r="E67" s="4">
        <f t="shared" si="64"/>
        <v>0.65283627746060746</v>
      </c>
      <c r="F67" s="4">
        <v>1</v>
      </c>
    </row>
    <row r="68" spans="4:6">
      <c r="D68" s="11">
        <f t="shared" si="63"/>
        <v>2035</v>
      </c>
      <c r="E68" s="4">
        <f t="shared" si="64"/>
        <v>0.63325118913678924</v>
      </c>
      <c r="F68" s="4">
        <v>1</v>
      </c>
    </row>
    <row r="69" spans="4:6">
      <c r="D69" s="11">
        <f t="shared" si="63"/>
        <v>2036</v>
      </c>
      <c r="E69" s="4">
        <f t="shared" si="64"/>
        <v>0.61425365346268557</v>
      </c>
      <c r="F69" s="4">
        <v>1</v>
      </c>
    </row>
    <row r="70" spans="4:6">
      <c r="D70" s="11">
        <f t="shared" si="63"/>
        <v>2037</v>
      </c>
      <c r="E70" s="4">
        <f t="shared" si="64"/>
        <v>0.595826043858805</v>
      </c>
      <c r="F70" s="4">
        <v>1</v>
      </c>
    </row>
    <row r="71" spans="4:6">
      <c r="D71" s="11">
        <f t="shared" si="63"/>
        <v>2038</v>
      </c>
      <c r="E71" s="4">
        <f t="shared" si="64"/>
        <v>0.57795126254304086</v>
      </c>
      <c r="F71" s="4">
        <v>1</v>
      </c>
    </row>
    <row r="72" spans="4:6">
      <c r="D72" s="11">
        <f t="shared" si="63"/>
        <v>2039</v>
      </c>
      <c r="E72" s="4">
        <f t="shared" si="64"/>
        <v>0.56061272466674961</v>
      </c>
      <c r="F72" s="4">
        <v>1</v>
      </c>
    </row>
    <row r="73" spans="4:6">
      <c r="D73" s="11">
        <f t="shared" si="63"/>
        <v>2040</v>
      </c>
      <c r="E73" s="4">
        <f t="shared" si="64"/>
        <v>0.54379434292674711</v>
      </c>
      <c r="F73" s="4">
        <v>1</v>
      </c>
    </row>
    <row r="74" spans="4:6">
      <c r="D74" s="11">
        <f t="shared" si="63"/>
        <v>2041</v>
      </c>
      <c r="E74" s="4">
        <f t="shared" si="64"/>
        <v>0.52748051263894469</v>
      </c>
      <c r="F74" s="4">
        <v>1</v>
      </c>
    </row>
    <row r="75" spans="4:6">
      <c r="D75" s="11">
        <f t="shared" si="63"/>
        <v>2042</v>
      </c>
      <c r="E75" s="4">
        <f t="shared" si="64"/>
        <v>0.51165609725977634</v>
      </c>
      <c r="F75" s="4">
        <v>1</v>
      </c>
    </row>
    <row r="76" spans="4:6">
      <c r="D76" s="11">
        <f t="shared" si="63"/>
        <v>2043</v>
      </c>
      <c r="E76" s="4">
        <f t="shared" si="64"/>
        <v>0.49630641434198303</v>
      </c>
      <c r="F76" s="4">
        <v>1</v>
      </c>
    </row>
    <row r="77" spans="4:6">
      <c r="D77" s="11">
        <f t="shared" si="63"/>
        <v>2044</v>
      </c>
      <c r="E77" s="4">
        <f t="shared" si="64"/>
        <v>0.48141722191172354</v>
      </c>
      <c r="F77" s="4">
        <v>1</v>
      </c>
    </row>
    <row r="78" spans="4:6">
      <c r="D78" s="11">
        <f t="shared" si="63"/>
        <v>2045</v>
      </c>
      <c r="E78" s="4">
        <f t="shared" si="64"/>
        <v>0.46697470525437179</v>
      </c>
      <c r="F78" s="4">
        <v>1</v>
      </c>
    </row>
    <row r="79" spans="4:6">
      <c r="D79" s="11">
        <f t="shared" si="63"/>
        <v>2046</v>
      </c>
      <c r="E79" s="4">
        <f t="shared" si="64"/>
        <v>0.4529654640967406</v>
      </c>
      <c r="F79" s="4">
        <v>1</v>
      </c>
    </row>
    <row r="80" spans="4:6">
      <c r="D80" s="11">
        <f t="shared" si="63"/>
        <v>2047</v>
      </c>
      <c r="E80" s="4">
        <f t="shared" si="64"/>
        <v>0.43937650017383839</v>
      </c>
      <c r="F80" s="4">
        <v>1</v>
      </c>
    </row>
    <row r="81" spans="4:6">
      <c r="D81" s="11">
        <f t="shared" si="63"/>
        <v>2048</v>
      </c>
      <c r="E81" s="4">
        <f t="shared" si="64"/>
        <v>0.42619520516862325</v>
      </c>
      <c r="F81" s="4">
        <v>1</v>
      </c>
    </row>
    <row r="82" spans="4:6">
      <c r="D82" s="11">
        <f t="shared" si="63"/>
        <v>2049</v>
      </c>
      <c r="E82" s="4">
        <f t="shared" si="64"/>
        <v>0.41340934901356452</v>
      </c>
      <c r="F82" s="4">
        <v>1</v>
      </c>
    </row>
    <row r="83" spans="4:6">
      <c r="D83" s="11">
        <f t="shared" si="63"/>
        <v>2050</v>
      </c>
      <c r="E83" s="4">
        <f t="shared" si="64"/>
        <v>0.4010070685431576</v>
      </c>
      <c r="F83" s="4">
        <v>1</v>
      </c>
    </row>
    <row r="84" spans="4:6">
      <c r="D84" s="11">
        <f t="shared" si="63"/>
        <v>2051</v>
      </c>
      <c r="E84" s="4">
        <f t="shared" si="64"/>
        <v>0.38897685648686287</v>
      </c>
      <c r="F84" s="4">
        <v>1</v>
      </c>
    </row>
    <row r="85" spans="4:6">
      <c r="D85" s="11">
        <f t="shared" si="63"/>
        <v>2052</v>
      </c>
      <c r="E85" s="4">
        <f t="shared" si="64"/>
        <v>0.37730755079225697</v>
      </c>
      <c r="F85" s="4">
        <v>1</v>
      </c>
    </row>
    <row r="86" spans="4:6">
      <c r="D86" s="11">
        <f t="shared" si="63"/>
        <v>2053</v>
      </c>
      <c r="E86" s="4">
        <f t="shared" si="64"/>
        <v>0.36598832426848926</v>
      </c>
      <c r="F86" s="4">
        <v>1</v>
      </c>
    </row>
    <row r="87" spans="4:6">
      <c r="D87" s="11">
        <f t="shared" si="63"/>
        <v>2054</v>
      </c>
      <c r="E87" s="4">
        <f t="shared" si="64"/>
        <v>0.35500867454043455</v>
      </c>
      <c r="F87" s="4">
        <v>1</v>
      </c>
    </row>
    <row r="88" spans="4:6">
      <c r="D88" s="11">
        <f t="shared" si="63"/>
        <v>2055</v>
      </c>
      <c r="E88" s="4">
        <f t="shared" si="64"/>
        <v>0.34435841430422148</v>
      </c>
      <c r="F88" s="4">
        <v>1</v>
      </c>
    </row>
    <row r="89" spans="4:6">
      <c r="D89" s="11">
        <f t="shared" si="63"/>
        <v>2056</v>
      </c>
      <c r="E89" s="4">
        <f t="shared" si="64"/>
        <v>0.33402766187509481</v>
      </c>
      <c r="F89" s="4">
        <v>1</v>
      </c>
    </row>
    <row r="90" spans="4:6">
      <c r="D90" s="11">
        <f t="shared" si="63"/>
        <v>2057</v>
      </c>
      <c r="E90" s="4">
        <f t="shared" si="64"/>
        <v>0.32400683201884195</v>
      </c>
      <c r="F90" s="4">
        <v>1</v>
      </c>
    </row>
    <row r="91" spans="4:6">
      <c r="D91" s="11">
        <f t="shared" si="63"/>
        <v>2058</v>
      </c>
      <c r="E91" s="4">
        <f t="shared" si="64"/>
        <v>0.3142866270582767</v>
      </c>
      <c r="F91" s="4">
        <v>1</v>
      </c>
    </row>
    <row r="92" spans="4:6">
      <c r="D92" s="11">
        <f t="shared" si="63"/>
        <v>2059</v>
      </c>
      <c r="E92" s="4">
        <f t="shared" si="64"/>
        <v>0.30485802824652841</v>
      </c>
      <c r="F92" s="4">
        <v>1</v>
      </c>
    </row>
    <row r="93" spans="4:6">
      <c r="D93" s="11">
        <f t="shared" si="63"/>
        <v>2060</v>
      </c>
      <c r="E93" s="4">
        <f t="shared" si="64"/>
        <v>0.29571228739913258</v>
      </c>
      <c r="F93" s="4">
        <v>1</v>
      </c>
    </row>
    <row r="94" spans="4:6">
      <c r="D94" s="11">
        <f t="shared" si="63"/>
        <v>2061</v>
      </c>
      <c r="E94" s="4">
        <f t="shared" si="64"/>
        <v>0.28684091877715862</v>
      </c>
      <c r="F94" s="4">
        <v>1</v>
      </c>
    </row>
    <row r="95" spans="4:6">
      <c r="D95" s="11">
        <f t="shared" si="63"/>
        <v>2062</v>
      </c>
      <c r="E95" s="4">
        <f t="shared" si="64"/>
        <v>0.27823569121384384</v>
      </c>
      <c r="F95" s="4">
        <v>1</v>
      </c>
    </row>
    <row r="96" spans="4:6">
      <c r="D96" s="11">
        <f t="shared" si="63"/>
        <v>2063</v>
      </c>
      <c r="E96" s="4">
        <f t="shared" si="64"/>
        <v>0.26988862047742851</v>
      </c>
      <c r="F96" s="4">
        <v>1</v>
      </c>
    </row>
    <row r="97" spans="4:6">
      <c r="D97" s="11">
        <f t="shared" si="63"/>
        <v>2064</v>
      </c>
      <c r="E97" s="4">
        <f t="shared" si="64"/>
        <v>0.26179196186310566</v>
      </c>
      <c r="F97" s="4">
        <v>1</v>
      </c>
    </row>
    <row r="98" spans="4:6">
      <c r="D98" s="11">
        <f t="shared" si="63"/>
        <v>2065</v>
      </c>
      <c r="E98" s="4">
        <f t="shared" si="64"/>
        <v>0.25393820300721248</v>
      </c>
      <c r="F98" s="4">
        <v>1</v>
      </c>
    </row>
    <row r="99" spans="4:6">
      <c r="D99" s="11">
        <f t="shared" si="63"/>
        <v>2066</v>
      </c>
      <c r="E99" s="4">
        <f t="shared" si="64"/>
        <v>0.2463200569169961</v>
      </c>
      <c r="F99" s="4">
        <v>1</v>
      </c>
    </row>
    <row r="100" spans="4:6">
      <c r="D100" s="11">
        <f t="shared" si="63"/>
        <v>2067</v>
      </c>
      <c r="E100" s="4">
        <f t="shared" si="64"/>
        <v>0.23893045520948622</v>
      </c>
      <c r="F100" s="4">
        <v>1</v>
      </c>
    </row>
    <row r="101" spans="4:6">
      <c r="D101" s="11">
        <f t="shared" si="63"/>
        <v>2068</v>
      </c>
      <c r="E101" s="4">
        <f t="shared" si="64"/>
        <v>0.23176254155320164</v>
      </c>
      <c r="F101" s="4">
        <v>1</v>
      </c>
    </row>
    <row r="102" spans="4:6">
      <c r="D102" s="11">
        <f t="shared" si="63"/>
        <v>2069</v>
      </c>
      <c r="E102" s="4">
        <f t="shared" si="64"/>
        <v>0.22480966530660559</v>
      </c>
      <c r="F102" s="4">
        <v>1</v>
      </c>
    </row>
    <row r="103" spans="4:6">
      <c r="D103" s="11">
        <f t="shared" si="63"/>
        <v>2070</v>
      </c>
      <c r="E103" s="4">
        <f t="shared" si="64"/>
        <v>0.21806537534740741</v>
      </c>
      <c r="F103" s="4">
        <v>1</v>
      </c>
    </row>
    <row r="104" spans="4:6">
      <c r="D104" s="11">
        <f t="shared" si="63"/>
        <v>2071</v>
      </c>
      <c r="E104" s="4">
        <f t="shared" si="64"/>
        <v>0.21152341408698519</v>
      </c>
      <c r="F104" s="4">
        <v>1</v>
      </c>
    </row>
    <row r="105" spans="4:6">
      <c r="D105" s="11">
        <f t="shared" si="63"/>
        <v>2072</v>
      </c>
      <c r="E105" s="4">
        <f t="shared" si="64"/>
        <v>0.20517771166437562</v>
      </c>
      <c r="F105" s="4">
        <v>1</v>
      </c>
    </row>
    <row r="106" spans="4:6">
      <c r="D106" s="11">
        <f t="shared" si="63"/>
        <v>2073</v>
      </c>
      <c r="E106" s="4">
        <f t="shared" si="64"/>
        <v>0.19902238031444436</v>
      </c>
      <c r="F106" s="4">
        <v>1</v>
      </c>
    </row>
    <row r="107" spans="4:6">
      <c r="D107" s="11">
        <f t="shared" si="63"/>
        <v>2074</v>
      </c>
      <c r="E107" s="4">
        <f t="shared" si="64"/>
        <v>0.19305170890501103</v>
      </c>
      <c r="F107" s="4">
        <v>1</v>
      </c>
    </row>
    <row r="108" spans="4:6">
      <c r="D108" s="11">
        <f t="shared" si="63"/>
        <v>2075</v>
      </c>
      <c r="E108" s="4">
        <f t="shared" si="64"/>
        <v>0.18726015763786069</v>
      </c>
      <c r="F108" s="4">
        <v>1</v>
      </c>
    </row>
    <row r="109" spans="4:6">
      <c r="D109" s="11">
        <f t="shared" si="63"/>
        <v>2076</v>
      </c>
      <c r="E109" s="4">
        <f t="shared" si="64"/>
        <v>0.18164235290872485</v>
      </c>
      <c r="F109" s="4">
        <v>1</v>
      </c>
    </row>
    <row r="110" spans="4:6">
      <c r="D110" s="11">
        <f t="shared" si="63"/>
        <v>2077</v>
      </c>
      <c r="E110" s="4">
        <f t="shared" si="64"/>
        <v>0.17619308232146311</v>
      </c>
      <c r="F110" s="4">
        <v>1</v>
      </c>
    </row>
    <row r="111" spans="4:6">
      <c r="D111" s="11">
        <f t="shared" si="63"/>
        <v>2078</v>
      </c>
      <c r="E111" s="4">
        <f t="shared" si="64"/>
        <v>0.17090728985181922</v>
      </c>
      <c r="F111" s="4">
        <v>1</v>
      </c>
    </row>
    <row r="112" spans="4:6">
      <c r="D112" s="11">
        <f t="shared" si="63"/>
        <v>2079</v>
      </c>
      <c r="E112" s="4">
        <f t="shared" si="64"/>
        <v>0.16578007115626464</v>
      </c>
      <c r="F112" s="4">
        <v>1</v>
      </c>
    </row>
    <row r="113" spans="4:6">
      <c r="D113" s="11">
        <f t="shared" si="63"/>
        <v>2080</v>
      </c>
      <c r="E113" s="4">
        <f t="shared" si="64"/>
        <v>0.1608066690215767</v>
      </c>
      <c r="F113" s="4">
        <v>1</v>
      </c>
    </row>
    <row r="114" spans="4:6">
      <c r="D114" s="11">
        <f t="shared" si="63"/>
        <v>2081</v>
      </c>
      <c r="E114" s="4">
        <f t="shared" si="64"/>
        <v>0.1559824689509294</v>
      </c>
      <c r="F114" s="4">
        <v>1</v>
      </c>
    </row>
    <row r="115" spans="4:6">
      <c r="D115" s="11">
        <f t="shared" si="63"/>
        <v>2082</v>
      </c>
      <c r="E115" s="4">
        <f t="shared" si="64"/>
        <v>0.15130299488240151</v>
      </c>
      <c r="F115" s="4">
        <v>1</v>
      </c>
    </row>
    <row r="116" spans="4:6">
      <c r="D116" s="11">
        <f t="shared" si="63"/>
        <v>2083</v>
      </c>
      <c r="E116" s="4">
        <f t="shared" si="64"/>
        <v>0.14676390503592945</v>
      </c>
      <c r="F116" s="4">
        <v>1</v>
      </c>
    </row>
    <row r="117" spans="4:6">
      <c r="D117" s="11">
        <f t="shared" si="63"/>
        <v>2084</v>
      </c>
      <c r="E117" s="4">
        <f t="shared" si="64"/>
        <v>0.14236098788485158</v>
      </c>
      <c r="F117" s="4">
        <v>1</v>
      </c>
    </row>
    <row r="118" spans="4:6">
      <c r="D118" s="11">
        <f t="shared" si="63"/>
        <v>2085</v>
      </c>
      <c r="E118" s="4">
        <f t="shared" si="64"/>
        <v>0.13809015824830603</v>
      </c>
      <c r="F118" s="4">
        <v>1</v>
      </c>
    </row>
    <row r="119" spans="4:6">
      <c r="D119" s="11">
        <f t="shared" ref="D119:D182" si="65">D118+1</f>
        <v>2086</v>
      </c>
      <c r="E119" s="4">
        <f t="shared" ref="E119:E182" si="66">E118*(1-$C$53)</f>
        <v>0.13394745350085685</v>
      </c>
      <c r="F119" s="4">
        <v>1</v>
      </c>
    </row>
    <row r="120" spans="4:6">
      <c r="D120" s="11">
        <f t="shared" si="65"/>
        <v>2087</v>
      </c>
      <c r="E120" s="4">
        <f t="shared" si="66"/>
        <v>0.12992902989583113</v>
      </c>
      <c r="F120" s="4">
        <v>1</v>
      </c>
    </row>
    <row r="121" spans="4:6">
      <c r="D121" s="11">
        <f t="shared" si="65"/>
        <v>2088</v>
      </c>
      <c r="E121" s="4">
        <f t="shared" si="66"/>
        <v>0.1260311589989562</v>
      </c>
      <c r="F121" s="4">
        <v>1</v>
      </c>
    </row>
    <row r="122" spans="4:6">
      <c r="D122" s="11">
        <f t="shared" si="65"/>
        <v>2089</v>
      </c>
      <c r="E122" s="4">
        <f t="shared" si="66"/>
        <v>0.12225022422898751</v>
      </c>
      <c r="F122" s="4">
        <v>1</v>
      </c>
    </row>
    <row r="123" spans="4:6">
      <c r="D123" s="11">
        <f t="shared" si="65"/>
        <v>2090</v>
      </c>
      <c r="E123" s="4">
        <f t="shared" si="66"/>
        <v>0.11858271750211788</v>
      </c>
      <c r="F123" s="4">
        <v>1</v>
      </c>
    </row>
    <row r="124" spans="4:6">
      <c r="D124" s="11">
        <f t="shared" si="65"/>
        <v>2091</v>
      </c>
      <c r="E124" s="4">
        <f t="shared" si="66"/>
        <v>0.11502523597705434</v>
      </c>
      <c r="F124" s="4">
        <v>1</v>
      </c>
    </row>
    <row r="125" spans="4:6">
      <c r="D125" s="11">
        <f t="shared" si="65"/>
        <v>2092</v>
      </c>
      <c r="E125" s="4">
        <f t="shared" si="66"/>
        <v>0.1115744788977427</v>
      </c>
      <c r="F125" s="4">
        <v>1</v>
      </c>
    </row>
    <row r="126" spans="4:6">
      <c r="D126" s="11">
        <f t="shared" si="65"/>
        <v>2093</v>
      </c>
      <c r="E126" s="4">
        <f t="shared" si="66"/>
        <v>0.10822724453081042</v>
      </c>
      <c r="F126" s="4">
        <v>1</v>
      </c>
    </row>
    <row r="127" spans="4:6">
      <c r="D127" s="11">
        <f t="shared" si="65"/>
        <v>2094</v>
      </c>
      <c r="E127" s="4">
        <f t="shared" si="66"/>
        <v>0.10498042719488611</v>
      </c>
      <c r="F127" s="4">
        <v>1</v>
      </c>
    </row>
    <row r="128" spans="4:6">
      <c r="D128" s="11">
        <f t="shared" si="65"/>
        <v>2095</v>
      </c>
      <c r="E128" s="4">
        <f t="shared" si="66"/>
        <v>0.10183101437903952</v>
      </c>
      <c r="F128" s="4">
        <v>1</v>
      </c>
    </row>
    <row r="129" spans="4:6">
      <c r="D129" s="11">
        <f t="shared" si="65"/>
        <v>2096</v>
      </c>
      <c r="E129" s="4">
        <f t="shared" si="66"/>
        <v>9.8776083947668333E-2</v>
      </c>
      <c r="F129" s="4">
        <v>1</v>
      </c>
    </row>
    <row r="130" spans="4:6">
      <c r="D130" s="11">
        <f t="shared" si="65"/>
        <v>2097</v>
      </c>
      <c r="E130" s="4">
        <f t="shared" si="66"/>
        <v>9.5812801429238287E-2</v>
      </c>
      <c r="F130" s="4">
        <v>1</v>
      </c>
    </row>
    <row r="131" spans="4:6">
      <c r="D131" s="11">
        <f t="shared" si="65"/>
        <v>2098</v>
      </c>
      <c r="E131" s="4">
        <f t="shared" si="66"/>
        <v>9.2938417386361133E-2</v>
      </c>
      <c r="F131" s="4">
        <v>1</v>
      </c>
    </row>
    <row r="132" spans="4:6">
      <c r="D132" s="11">
        <f t="shared" si="65"/>
        <v>2099</v>
      </c>
      <c r="E132" s="4">
        <f t="shared" si="66"/>
        <v>9.0150264864770291E-2</v>
      </c>
      <c r="F132" s="4">
        <v>1</v>
      </c>
    </row>
    <row r="133" spans="4:6">
      <c r="D133" s="11">
        <f t="shared" si="65"/>
        <v>2100</v>
      </c>
      <c r="E133" s="4">
        <f t="shared" si="66"/>
        <v>8.744575691882718E-2</v>
      </c>
      <c r="F133" s="4">
        <v>1</v>
      </c>
    </row>
    <row r="134" spans="4:6">
      <c r="D134" s="11">
        <f t="shared" si="65"/>
        <v>2101</v>
      </c>
      <c r="E134" s="4">
        <f t="shared" si="66"/>
        <v>8.4822384211262369E-2</v>
      </c>
      <c r="F134" s="4">
        <v>1</v>
      </c>
    </row>
    <row r="135" spans="4:6">
      <c r="D135" s="11">
        <f t="shared" si="65"/>
        <v>2102</v>
      </c>
      <c r="E135" s="4">
        <f t="shared" si="66"/>
        <v>8.2277712684924495E-2</v>
      </c>
      <c r="F135" s="4">
        <v>1</v>
      </c>
    </row>
    <row r="136" spans="4:6">
      <c r="D136" s="11">
        <f t="shared" si="65"/>
        <v>2103</v>
      </c>
      <c r="E136" s="4">
        <f t="shared" si="66"/>
        <v>7.9809381304376759E-2</v>
      </c>
      <c r="F136" s="4">
        <v>1</v>
      </c>
    </row>
    <row r="137" spans="4:6">
      <c r="D137" s="11">
        <f t="shared" si="65"/>
        <v>2104</v>
      </c>
      <c r="E137" s="4">
        <f t="shared" si="66"/>
        <v>7.741509986524546E-2</v>
      </c>
      <c r="F137" s="4">
        <v>1</v>
      </c>
    </row>
    <row r="138" spans="4:6">
      <c r="D138" s="11">
        <f t="shared" si="65"/>
        <v>2105</v>
      </c>
      <c r="E138" s="4">
        <f t="shared" si="66"/>
        <v>7.5092646869288099E-2</v>
      </c>
      <c r="F138" s="4">
        <v>1</v>
      </c>
    </row>
    <row r="139" spans="4:6">
      <c r="D139" s="11">
        <f t="shared" si="65"/>
        <v>2106</v>
      </c>
      <c r="E139" s="4">
        <f t="shared" si="66"/>
        <v>7.2839867463209459E-2</v>
      </c>
      <c r="F139" s="4">
        <v>1</v>
      </c>
    </row>
    <row r="140" spans="4:6">
      <c r="D140" s="11">
        <f t="shared" si="65"/>
        <v>2107</v>
      </c>
      <c r="E140" s="4">
        <f t="shared" si="66"/>
        <v>7.0654671439313171E-2</v>
      </c>
      <c r="F140" s="4">
        <v>1</v>
      </c>
    </row>
    <row r="141" spans="4:6">
      <c r="D141" s="11">
        <f t="shared" si="65"/>
        <v>2108</v>
      </c>
      <c r="E141" s="4">
        <f t="shared" si="66"/>
        <v>6.853503129613378E-2</v>
      </c>
      <c r="F141" s="4">
        <v>1</v>
      </c>
    </row>
    <row r="142" spans="4:6">
      <c r="D142" s="11">
        <f t="shared" si="65"/>
        <v>2109</v>
      </c>
      <c r="E142" s="4">
        <f t="shared" si="66"/>
        <v>6.6478980357249765E-2</v>
      </c>
      <c r="F142" s="4">
        <v>1</v>
      </c>
    </row>
    <row r="143" spans="4:6">
      <c r="D143" s="11">
        <f t="shared" si="65"/>
        <v>2110</v>
      </c>
      <c r="E143" s="4">
        <f t="shared" si="66"/>
        <v>6.4484610946532267E-2</v>
      </c>
      <c r="F143" s="4">
        <v>1</v>
      </c>
    </row>
    <row r="144" spans="4:6">
      <c r="D144" s="11">
        <f t="shared" si="65"/>
        <v>2111</v>
      </c>
      <c r="E144" s="4">
        <f t="shared" si="66"/>
        <v>6.255007261813629E-2</v>
      </c>
      <c r="F144" s="4">
        <v>1</v>
      </c>
    </row>
    <row r="145" spans="4:6">
      <c r="D145" s="11">
        <f t="shared" si="65"/>
        <v>2112</v>
      </c>
      <c r="E145" s="4">
        <f t="shared" si="66"/>
        <v>6.0673570439592199E-2</v>
      </c>
      <c r="F145" s="4">
        <v>1</v>
      </c>
    </row>
    <row r="146" spans="4:6">
      <c r="D146" s="11">
        <f t="shared" si="65"/>
        <v>2113</v>
      </c>
      <c r="E146" s="4">
        <f t="shared" si="66"/>
        <v>5.885336332640443E-2</v>
      </c>
      <c r="F146" s="4">
        <v>1</v>
      </c>
    </row>
    <row r="147" spans="4:6">
      <c r="D147" s="11">
        <f t="shared" si="65"/>
        <v>2114</v>
      </c>
      <c r="E147" s="4">
        <f t="shared" si="66"/>
        <v>5.7087762426612294E-2</v>
      </c>
      <c r="F147" s="4">
        <v>1</v>
      </c>
    </row>
    <row r="148" spans="4:6">
      <c r="D148" s="11">
        <f t="shared" si="65"/>
        <v>2115</v>
      </c>
      <c r="E148" s="4">
        <f t="shared" si="66"/>
        <v>5.5375129553813927E-2</v>
      </c>
      <c r="F148" s="4">
        <v>1</v>
      </c>
    </row>
    <row r="149" spans="4:6">
      <c r="D149" s="11">
        <f t="shared" si="65"/>
        <v>2116</v>
      </c>
      <c r="E149" s="4">
        <f t="shared" si="66"/>
        <v>5.3713875667199505E-2</v>
      </c>
      <c r="F149" s="4">
        <v>1</v>
      </c>
    </row>
    <row r="150" spans="4:6">
      <c r="D150" s="11">
        <f t="shared" si="65"/>
        <v>2117</v>
      </c>
      <c r="E150" s="4">
        <f t="shared" si="66"/>
        <v>5.2102459397183519E-2</v>
      </c>
      <c r="F150" s="4">
        <v>1</v>
      </c>
    </row>
    <row r="151" spans="4:6">
      <c r="D151" s="11">
        <f t="shared" si="65"/>
        <v>2118</v>
      </c>
      <c r="E151" s="4">
        <f t="shared" si="66"/>
        <v>5.0539385615268009E-2</v>
      </c>
      <c r="F151" s="4">
        <v>1</v>
      </c>
    </row>
    <row r="152" spans="4:6">
      <c r="D152" s="11">
        <f t="shared" si="65"/>
        <v>2119</v>
      </c>
      <c r="E152" s="4">
        <f t="shared" si="66"/>
        <v>4.9023204046809966E-2</v>
      </c>
      <c r="F152" s="4">
        <v>1</v>
      </c>
    </row>
    <row r="153" spans="4:6">
      <c r="D153" s="11">
        <f t="shared" si="65"/>
        <v>2120</v>
      </c>
      <c r="E153" s="4">
        <f t="shared" si="66"/>
        <v>4.755250792540567E-2</v>
      </c>
      <c r="F153" s="4">
        <v>1</v>
      </c>
    </row>
    <row r="154" spans="4:6">
      <c r="D154" s="11">
        <f t="shared" si="65"/>
        <v>2121</v>
      </c>
      <c r="E154" s="4">
        <f t="shared" si="66"/>
        <v>4.6125932687643499E-2</v>
      </c>
      <c r="F154" s="4">
        <v>1</v>
      </c>
    </row>
    <row r="155" spans="4:6">
      <c r="D155" s="11">
        <f t="shared" si="65"/>
        <v>2122</v>
      </c>
      <c r="E155" s="4">
        <f t="shared" si="66"/>
        <v>4.474215470701419E-2</v>
      </c>
      <c r="F155" s="4">
        <v>1</v>
      </c>
    </row>
    <row r="156" spans="4:6">
      <c r="D156" s="11">
        <f t="shared" si="65"/>
        <v>2123</v>
      </c>
      <c r="E156" s="4">
        <f t="shared" si="66"/>
        <v>4.3399890065803762E-2</v>
      </c>
      <c r="F156" s="4">
        <v>1</v>
      </c>
    </row>
    <row r="157" spans="4:6">
      <c r="D157" s="11">
        <f t="shared" si="65"/>
        <v>2124</v>
      </c>
      <c r="E157" s="4">
        <f t="shared" si="66"/>
        <v>4.2097893363829644E-2</v>
      </c>
      <c r="F157" s="4">
        <v>1</v>
      </c>
    </row>
    <row r="158" spans="4:6">
      <c r="D158" s="11">
        <f t="shared" si="65"/>
        <v>2125</v>
      </c>
      <c r="E158" s="4">
        <f t="shared" si="66"/>
        <v>4.0834956562914755E-2</v>
      </c>
      <c r="F158" s="4">
        <v>1</v>
      </c>
    </row>
    <row r="159" spans="4:6">
      <c r="D159" s="11">
        <f t="shared" si="65"/>
        <v>2126</v>
      </c>
      <c r="E159" s="4">
        <f t="shared" si="66"/>
        <v>3.9609907866027312E-2</v>
      </c>
      <c r="F159" s="4">
        <v>1</v>
      </c>
    </row>
    <row r="160" spans="4:6">
      <c r="D160" s="11">
        <f t="shared" si="65"/>
        <v>2127</v>
      </c>
      <c r="E160" s="4">
        <f t="shared" si="66"/>
        <v>3.8421610630046489E-2</v>
      </c>
      <c r="F160" s="4">
        <v>1</v>
      </c>
    </row>
    <row r="161" spans="4:6">
      <c r="D161" s="11">
        <f t="shared" si="65"/>
        <v>2128</v>
      </c>
      <c r="E161" s="4">
        <f t="shared" si="66"/>
        <v>3.7268962311145092E-2</v>
      </c>
      <c r="F161" s="4">
        <v>1</v>
      </c>
    </row>
    <row r="162" spans="4:6">
      <c r="D162" s="11">
        <f t="shared" si="65"/>
        <v>2129</v>
      </c>
      <c r="E162" s="4">
        <f t="shared" si="66"/>
        <v>3.6150893441810737E-2</v>
      </c>
      <c r="F162" s="4">
        <v>1</v>
      </c>
    </row>
    <row r="163" spans="4:6">
      <c r="D163" s="11">
        <f t="shared" si="65"/>
        <v>2130</v>
      </c>
      <c r="E163" s="4">
        <f t="shared" si="66"/>
        <v>3.5066366638556411E-2</v>
      </c>
      <c r="F163" s="4">
        <v>1</v>
      </c>
    </row>
    <row r="164" spans="4:6">
      <c r="D164" s="11">
        <f t="shared" si="65"/>
        <v>2131</v>
      </c>
      <c r="E164" s="4">
        <f t="shared" si="66"/>
        <v>3.401437563939972E-2</v>
      </c>
      <c r="F164" s="4">
        <v>1</v>
      </c>
    </row>
    <row r="165" spans="4:6">
      <c r="D165" s="11">
        <f t="shared" si="65"/>
        <v>2132</v>
      </c>
      <c r="E165" s="4">
        <f t="shared" si="66"/>
        <v>3.2993944370217729E-2</v>
      </c>
      <c r="F165" s="4">
        <v>1</v>
      </c>
    </row>
    <row r="166" spans="4:6">
      <c r="D166" s="11">
        <f t="shared" si="65"/>
        <v>2133</v>
      </c>
      <c r="E166" s="4">
        <f t="shared" si="66"/>
        <v>3.2004126039111194E-2</v>
      </c>
      <c r="F166" s="4">
        <v>1</v>
      </c>
    </row>
    <row r="167" spans="4:6">
      <c r="D167" s="11">
        <f t="shared" si="65"/>
        <v>2134</v>
      </c>
      <c r="E167" s="4">
        <f t="shared" si="66"/>
        <v>3.1044002257937856E-2</v>
      </c>
      <c r="F167" s="4">
        <v>1</v>
      </c>
    </row>
    <row r="168" spans="4:6">
      <c r="D168" s="11">
        <f t="shared" si="65"/>
        <v>2135</v>
      </c>
      <c r="E168" s="4">
        <f t="shared" si="66"/>
        <v>3.0112682190199719E-2</v>
      </c>
      <c r="F168" s="4">
        <v>1</v>
      </c>
    </row>
    <row r="169" spans="4:6">
      <c r="D169" s="11">
        <f t="shared" si="65"/>
        <v>2136</v>
      </c>
      <c r="E169" s="4">
        <f t="shared" si="66"/>
        <v>2.9209301724493725E-2</v>
      </c>
      <c r="F169" s="4">
        <v>1</v>
      </c>
    </row>
    <row r="170" spans="4:6">
      <c r="D170" s="11">
        <f t="shared" si="65"/>
        <v>2137</v>
      </c>
      <c r="E170" s="4">
        <f t="shared" si="66"/>
        <v>2.8333022672758914E-2</v>
      </c>
      <c r="F170" s="4">
        <v>1</v>
      </c>
    </row>
    <row r="171" spans="4:6">
      <c r="D171" s="11">
        <f t="shared" si="65"/>
        <v>2138</v>
      </c>
      <c r="E171" s="4">
        <f t="shared" si="66"/>
        <v>2.7483031992576144E-2</v>
      </c>
      <c r="F171" s="4">
        <v>1</v>
      </c>
    </row>
    <row r="172" spans="4:6">
      <c r="D172" s="11">
        <f t="shared" si="65"/>
        <v>2139</v>
      </c>
      <c r="E172" s="4">
        <f t="shared" si="66"/>
        <v>2.6658541032798858E-2</v>
      </c>
      <c r="F172" s="4">
        <v>1</v>
      </c>
    </row>
    <row r="173" spans="4:6">
      <c r="D173" s="11">
        <f t="shared" si="65"/>
        <v>2140</v>
      </c>
      <c r="E173" s="4">
        <f t="shared" si="66"/>
        <v>2.5858784801814892E-2</v>
      </c>
      <c r="F173" s="4">
        <v>1</v>
      </c>
    </row>
    <row r="174" spans="4:6">
      <c r="D174" s="11">
        <f t="shared" si="65"/>
        <v>2141</v>
      </c>
      <c r="E174" s="4">
        <f t="shared" si="66"/>
        <v>2.5083021257760445E-2</v>
      </c>
      <c r="F174" s="4">
        <v>1</v>
      </c>
    </row>
    <row r="175" spans="4:6">
      <c r="D175" s="11">
        <f t="shared" si="65"/>
        <v>2142</v>
      </c>
      <c r="E175" s="4">
        <f t="shared" si="66"/>
        <v>2.4330530620027633E-2</v>
      </c>
      <c r="F175" s="4">
        <v>1</v>
      </c>
    </row>
    <row r="176" spans="4:6">
      <c r="D176" s="11">
        <f t="shared" si="65"/>
        <v>2143</v>
      </c>
      <c r="E176" s="4">
        <f t="shared" si="66"/>
        <v>2.3600614701426804E-2</v>
      </c>
      <c r="F176" s="4">
        <v>1</v>
      </c>
    </row>
    <row r="177" spans="4:6">
      <c r="D177" s="11">
        <f t="shared" si="65"/>
        <v>2144</v>
      </c>
      <c r="E177" s="4">
        <f t="shared" si="66"/>
        <v>2.2892596260384E-2</v>
      </c>
      <c r="F177" s="4">
        <v>1</v>
      </c>
    </row>
    <row r="178" spans="4:6">
      <c r="D178" s="11">
        <f t="shared" si="65"/>
        <v>2145</v>
      </c>
      <c r="E178" s="4">
        <f t="shared" si="66"/>
        <v>2.2205818372572479E-2</v>
      </c>
      <c r="F178" s="4">
        <v>1</v>
      </c>
    </row>
    <row r="179" spans="4:6">
      <c r="D179" s="11">
        <f t="shared" si="65"/>
        <v>2146</v>
      </c>
      <c r="E179" s="4">
        <f t="shared" si="66"/>
        <v>2.1539643821395303E-2</v>
      </c>
      <c r="F179" s="4">
        <v>1</v>
      </c>
    </row>
    <row r="180" spans="4:6">
      <c r="D180" s="11">
        <f t="shared" si="65"/>
        <v>2147</v>
      </c>
      <c r="E180" s="4">
        <f t="shared" si="66"/>
        <v>2.0893454506753444E-2</v>
      </c>
      <c r="F180" s="4">
        <v>1</v>
      </c>
    </row>
    <row r="181" spans="4:6">
      <c r="D181" s="11">
        <f t="shared" si="65"/>
        <v>2148</v>
      </c>
      <c r="E181" s="4">
        <f t="shared" si="66"/>
        <v>2.0266650871550839E-2</v>
      </c>
      <c r="F181" s="4">
        <v>1</v>
      </c>
    </row>
    <row r="182" spans="4:6">
      <c r="D182" s="11">
        <f t="shared" si="65"/>
        <v>2149</v>
      </c>
      <c r="E182" s="4">
        <f t="shared" si="66"/>
        <v>1.9658651345404312E-2</v>
      </c>
      <c r="F182" s="4">
        <v>1</v>
      </c>
    </row>
    <row r="183" spans="4:6">
      <c r="D183" s="11">
        <f t="shared" ref="D183:D246" si="67">D182+1</f>
        <v>2150</v>
      </c>
      <c r="E183" s="4">
        <f t="shared" ref="E183:E246" si="68">E182*(1-$C$53)</f>
        <v>1.9068891805042183E-2</v>
      </c>
      <c r="F183" s="4">
        <v>1</v>
      </c>
    </row>
    <row r="184" spans="4:6">
      <c r="D184" s="11">
        <f t="shared" si="67"/>
        <v>2151</v>
      </c>
      <c r="E184" s="4">
        <f t="shared" si="68"/>
        <v>1.8496825050890918E-2</v>
      </c>
      <c r="F184" s="4">
        <v>1</v>
      </c>
    </row>
    <row r="185" spans="4:6">
      <c r="D185" s="11">
        <f t="shared" si="67"/>
        <v>2152</v>
      </c>
      <c r="E185" s="4">
        <f t="shared" si="68"/>
        <v>1.794192029936419E-2</v>
      </c>
      <c r="F185" s="4">
        <v>1</v>
      </c>
    </row>
    <row r="186" spans="4:6">
      <c r="D186" s="11">
        <f t="shared" si="67"/>
        <v>2153</v>
      </c>
      <c r="E186" s="4">
        <f t="shared" si="68"/>
        <v>1.7403662690383265E-2</v>
      </c>
      <c r="F186" s="4">
        <v>1</v>
      </c>
    </row>
    <row r="187" spans="4:6">
      <c r="D187" s="11">
        <f t="shared" si="67"/>
        <v>2154</v>
      </c>
      <c r="E187" s="4">
        <f t="shared" si="68"/>
        <v>1.6881552809671765E-2</v>
      </c>
      <c r="F187" s="4">
        <v>1</v>
      </c>
    </row>
    <row r="188" spans="4:6">
      <c r="D188" s="11">
        <f t="shared" si="67"/>
        <v>2155</v>
      </c>
      <c r="E188" s="4">
        <f t="shared" si="68"/>
        <v>1.6375106225381613E-2</v>
      </c>
      <c r="F188" s="4">
        <v>1</v>
      </c>
    </row>
    <row r="189" spans="4:6">
      <c r="D189" s="11">
        <f t="shared" si="67"/>
        <v>2156</v>
      </c>
      <c r="E189" s="4">
        <f t="shared" si="68"/>
        <v>1.5883853038620166E-2</v>
      </c>
      <c r="F189" s="4">
        <v>1</v>
      </c>
    </row>
    <row r="190" spans="4:6">
      <c r="D190" s="11">
        <f t="shared" si="67"/>
        <v>2157</v>
      </c>
      <c r="E190" s="4">
        <f t="shared" si="68"/>
        <v>1.5407337447461561E-2</v>
      </c>
      <c r="F190" s="4">
        <v>1</v>
      </c>
    </row>
    <row r="191" spans="4:6">
      <c r="D191" s="11">
        <f t="shared" si="67"/>
        <v>2158</v>
      </c>
      <c r="E191" s="4">
        <f t="shared" si="68"/>
        <v>1.4945117324037714E-2</v>
      </c>
      <c r="F191" s="4">
        <v>1</v>
      </c>
    </row>
    <row r="192" spans="4:6">
      <c r="D192" s="11">
        <f t="shared" si="67"/>
        <v>2159</v>
      </c>
      <c r="E192" s="4">
        <f t="shared" si="68"/>
        <v>1.4496763804316583E-2</v>
      </c>
      <c r="F192" s="4">
        <v>1</v>
      </c>
    </row>
    <row r="193" spans="4:6">
      <c r="D193" s="11">
        <f t="shared" si="67"/>
        <v>2160</v>
      </c>
      <c r="E193" s="4">
        <f t="shared" si="68"/>
        <v>1.4061860890187084E-2</v>
      </c>
      <c r="F193" s="4">
        <v>1</v>
      </c>
    </row>
    <row r="194" spans="4:6">
      <c r="D194" s="11">
        <f t="shared" si="67"/>
        <v>2161</v>
      </c>
      <c r="E194" s="4">
        <f t="shared" si="68"/>
        <v>1.3640005063481472E-2</v>
      </c>
      <c r="F194" s="4">
        <v>1</v>
      </c>
    </row>
    <row r="195" spans="4:6">
      <c r="D195" s="11">
        <f t="shared" si="67"/>
        <v>2162</v>
      </c>
      <c r="E195" s="4">
        <f t="shared" si="68"/>
        <v>1.3230804911577028E-2</v>
      </c>
      <c r="F195" s="4">
        <v>1</v>
      </c>
    </row>
    <row r="196" spans="4:6">
      <c r="D196" s="11">
        <f t="shared" si="67"/>
        <v>2163</v>
      </c>
      <c r="E196" s="4">
        <f t="shared" si="68"/>
        <v>1.2833880764229717E-2</v>
      </c>
      <c r="F196" s="4">
        <v>1</v>
      </c>
    </row>
    <row r="197" spans="4:6">
      <c r="D197" s="11">
        <f t="shared" si="67"/>
        <v>2164</v>
      </c>
      <c r="E197" s="4">
        <f t="shared" si="68"/>
        <v>1.2448864341302825E-2</v>
      </c>
      <c r="F197" s="4">
        <v>1</v>
      </c>
    </row>
    <row r="198" spans="4:6">
      <c r="D198" s="11">
        <f t="shared" si="67"/>
        <v>2165</v>
      </c>
      <c r="E198" s="4">
        <f t="shared" si="68"/>
        <v>1.207539841106374E-2</v>
      </c>
      <c r="F198" s="4">
        <v>1</v>
      </c>
    </row>
    <row r="199" spans="4:6">
      <c r="D199" s="11">
        <f t="shared" si="67"/>
        <v>2166</v>
      </c>
      <c r="E199" s="4">
        <f t="shared" si="68"/>
        <v>1.1713136458731828E-2</v>
      </c>
      <c r="F199" s="4">
        <v>1</v>
      </c>
    </row>
    <row r="200" spans="4:6">
      <c r="D200" s="11">
        <f t="shared" si="67"/>
        <v>2167</v>
      </c>
      <c r="E200" s="4">
        <f t="shared" si="68"/>
        <v>1.1361742364969873E-2</v>
      </c>
      <c r="F200" s="4">
        <v>1</v>
      </c>
    </row>
    <row r="201" spans="4:6">
      <c r="D201" s="11">
        <f t="shared" si="67"/>
        <v>2168</v>
      </c>
      <c r="E201" s="4">
        <f t="shared" si="68"/>
        <v>1.1020890094020776E-2</v>
      </c>
      <c r="F201" s="4">
        <v>1</v>
      </c>
    </row>
    <row r="202" spans="4:6">
      <c r="D202" s="11">
        <f t="shared" si="67"/>
        <v>2169</v>
      </c>
      <c r="E202" s="4">
        <f t="shared" si="68"/>
        <v>1.0690263391200152E-2</v>
      </c>
      <c r="F202" s="4">
        <v>1</v>
      </c>
    </row>
    <row r="203" spans="4:6">
      <c r="D203" s="11">
        <f t="shared" si="67"/>
        <v>2170</v>
      </c>
      <c r="E203" s="4">
        <f t="shared" si="68"/>
        <v>1.0369555489464147E-2</v>
      </c>
      <c r="F203" s="4">
        <v>1</v>
      </c>
    </row>
    <row r="204" spans="4:6">
      <c r="D204" s="11">
        <f t="shared" si="67"/>
        <v>2171</v>
      </c>
      <c r="E204" s="4">
        <f t="shared" si="68"/>
        <v>1.0058468824780223E-2</v>
      </c>
      <c r="F204" s="4">
        <v>1</v>
      </c>
    </row>
    <row r="205" spans="4:6">
      <c r="D205" s="11">
        <f t="shared" si="67"/>
        <v>2172</v>
      </c>
      <c r="E205" s="4">
        <f t="shared" si="68"/>
        <v>9.7567147600368161E-3</v>
      </c>
      <c r="F205" s="4">
        <v>1</v>
      </c>
    </row>
    <row r="206" spans="4:6">
      <c r="D206" s="11">
        <f t="shared" si="67"/>
        <v>2173</v>
      </c>
      <c r="E206" s="4">
        <f t="shared" si="68"/>
        <v>9.4640133172357119E-3</v>
      </c>
      <c r="F206" s="4">
        <v>1</v>
      </c>
    </row>
    <row r="207" spans="4:6">
      <c r="D207" s="11">
        <f t="shared" si="67"/>
        <v>2174</v>
      </c>
      <c r="E207" s="4">
        <f t="shared" si="68"/>
        <v>9.1800929177186397E-3</v>
      </c>
      <c r="F207" s="4">
        <v>1</v>
      </c>
    </row>
    <row r="208" spans="4:6">
      <c r="D208" s="11">
        <f t="shared" si="67"/>
        <v>2175</v>
      </c>
      <c r="E208" s="4">
        <f t="shared" si="68"/>
        <v>8.9046901301870797E-3</v>
      </c>
      <c r="F208" s="4">
        <v>1</v>
      </c>
    </row>
    <row r="209" spans="4:6">
      <c r="D209" s="11">
        <f t="shared" si="67"/>
        <v>2176</v>
      </c>
      <c r="E209" s="4">
        <f t="shared" si="68"/>
        <v>8.6375494262814663E-3</v>
      </c>
      <c r="F209" s="4">
        <v>1</v>
      </c>
    </row>
    <row r="210" spans="4:6">
      <c r="D210" s="11">
        <f t="shared" si="67"/>
        <v>2177</v>
      </c>
      <c r="E210" s="4">
        <f t="shared" si="68"/>
        <v>8.3784229434930215E-3</v>
      </c>
      <c r="F210" s="4">
        <v>1</v>
      </c>
    </row>
    <row r="211" spans="4:6">
      <c r="D211" s="11">
        <f t="shared" si="67"/>
        <v>2178</v>
      </c>
      <c r="E211" s="4">
        <f t="shared" si="68"/>
        <v>8.12707025518823E-3</v>
      </c>
      <c r="F211" s="4">
        <v>1</v>
      </c>
    </row>
    <row r="212" spans="4:6">
      <c r="D212" s="11">
        <f t="shared" si="67"/>
        <v>2179</v>
      </c>
      <c r="E212" s="4">
        <f t="shared" si="68"/>
        <v>7.8832581475325823E-3</v>
      </c>
      <c r="F212" s="4">
        <v>1</v>
      </c>
    </row>
    <row r="213" spans="4:6">
      <c r="D213" s="11">
        <f t="shared" si="67"/>
        <v>2180</v>
      </c>
      <c r="E213" s="4">
        <f t="shared" si="68"/>
        <v>7.6467604031066044E-3</v>
      </c>
      <c r="F213" s="4">
        <v>1</v>
      </c>
    </row>
    <row r="214" spans="4:6">
      <c r="D214" s="11">
        <f t="shared" si="67"/>
        <v>2181</v>
      </c>
      <c r="E214" s="4">
        <f t="shared" si="68"/>
        <v>7.417357591013406E-3</v>
      </c>
      <c r="F214" s="4">
        <v>1</v>
      </c>
    </row>
    <row r="215" spans="4:6">
      <c r="D215" s="11">
        <f t="shared" si="67"/>
        <v>2182</v>
      </c>
      <c r="E215" s="4">
        <f t="shared" si="68"/>
        <v>7.1948368632830037E-3</v>
      </c>
      <c r="F215" s="4">
        <v>1</v>
      </c>
    </row>
    <row r="216" spans="4:6">
      <c r="D216" s="11">
        <f t="shared" si="67"/>
        <v>2183</v>
      </c>
      <c r="E216" s="4">
        <f t="shared" si="68"/>
        <v>6.9789917573845131E-3</v>
      </c>
      <c r="F216" s="4">
        <v>1</v>
      </c>
    </row>
    <row r="217" spans="4:6">
      <c r="D217" s="11">
        <f t="shared" si="67"/>
        <v>2184</v>
      </c>
      <c r="E217" s="4">
        <f t="shared" si="68"/>
        <v>6.7696220046629778E-3</v>
      </c>
      <c r="F217" s="4">
        <v>1</v>
      </c>
    </row>
    <row r="218" spans="4:6">
      <c r="D218" s="11">
        <f t="shared" si="67"/>
        <v>2185</v>
      </c>
      <c r="E218" s="4">
        <f t="shared" si="68"/>
        <v>6.5665333445230883E-3</v>
      </c>
      <c r="F218" s="4">
        <v>1</v>
      </c>
    </row>
    <row r="219" spans="4:6">
      <c r="D219" s="11">
        <f t="shared" si="67"/>
        <v>2186</v>
      </c>
      <c r="E219" s="4">
        <f t="shared" si="68"/>
        <v>6.3695373441873954E-3</v>
      </c>
      <c r="F219" s="4">
        <v>1</v>
      </c>
    </row>
    <row r="220" spans="4:6">
      <c r="D220" s="11">
        <f t="shared" si="67"/>
        <v>2187</v>
      </c>
      <c r="E220" s="4">
        <f t="shared" si="68"/>
        <v>6.1784512238617735E-3</v>
      </c>
      <c r="F220" s="4">
        <v>1</v>
      </c>
    </row>
    <row r="221" spans="4:6">
      <c r="D221" s="11">
        <f t="shared" si="67"/>
        <v>2188</v>
      </c>
      <c r="E221" s="4">
        <f t="shared" si="68"/>
        <v>5.9930976871459202E-3</v>
      </c>
      <c r="F221" s="4">
        <v>1</v>
      </c>
    </row>
    <row r="222" spans="4:6">
      <c r="D222" s="11">
        <f t="shared" si="67"/>
        <v>2189</v>
      </c>
      <c r="E222" s="4">
        <f t="shared" si="68"/>
        <v>5.8133047565315423E-3</v>
      </c>
      <c r="F222" s="4">
        <v>1</v>
      </c>
    </row>
    <row r="223" spans="4:6">
      <c r="D223" s="11">
        <f t="shared" si="67"/>
        <v>2190</v>
      </c>
      <c r="E223" s="4">
        <f t="shared" si="68"/>
        <v>5.6389056138355957E-3</v>
      </c>
      <c r="F223" s="4">
        <v>1</v>
      </c>
    </row>
    <row r="224" spans="4:6">
      <c r="D224" s="11">
        <f t="shared" si="67"/>
        <v>2191</v>
      </c>
      <c r="E224" s="4">
        <f t="shared" si="68"/>
        <v>5.4697384454205277E-3</v>
      </c>
      <c r="F224" s="4">
        <v>1</v>
      </c>
    </row>
    <row r="225" spans="4:6">
      <c r="D225" s="11">
        <f t="shared" si="67"/>
        <v>2192</v>
      </c>
      <c r="E225" s="4">
        <f t="shared" si="68"/>
        <v>5.3056462920579115E-3</v>
      </c>
      <c r="F225" s="4">
        <v>1</v>
      </c>
    </row>
    <row r="226" spans="4:6">
      <c r="D226" s="5">
        <f t="shared" si="67"/>
        <v>2193</v>
      </c>
      <c r="E226" s="4">
        <f t="shared" si="68"/>
        <v>5.1464769032961736E-3</v>
      </c>
      <c r="F226" s="4">
        <v>1</v>
      </c>
    </row>
    <row r="227" spans="4:6">
      <c r="D227" s="5">
        <f t="shared" si="67"/>
        <v>2194</v>
      </c>
      <c r="E227" s="4">
        <f t="shared" si="68"/>
        <v>4.9920825961972887E-3</v>
      </c>
      <c r="F227" s="4">
        <v>1</v>
      </c>
    </row>
    <row r="228" spans="4:6">
      <c r="D228" s="5">
        <f t="shared" si="67"/>
        <v>2195</v>
      </c>
      <c r="E228" s="4">
        <f t="shared" si="68"/>
        <v>4.84232011831137E-3</v>
      </c>
      <c r="F228" s="4">
        <v>1</v>
      </c>
    </row>
    <row r="229" spans="4:6">
      <c r="D229" s="5">
        <f t="shared" si="67"/>
        <v>2196</v>
      </c>
      <c r="E229" s="4">
        <f t="shared" si="68"/>
        <v>4.6970505147620285E-3</v>
      </c>
      <c r="F229" s="4">
        <v>1</v>
      </c>
    </row>
    <row r="230" spans="4:6">
      <c r="D230" s="5">
        <f t="shared" si="67"/>
        <v>2197</v>
      </c>
      <c r="E230" s="4">
        <f t="shared" si="68"/>
        <v>4.5561389993191677E-3</v>
      </c>
      <c r="F230" s="4">
        <v>1</v>
      </c>
    </row>
    <row r="231" spans="4:6">
      <c r="D231" s="5">
        <f t="shared" si="67"/>
        <v>2198</v>
      </c>
      <c r="E231" s="4">
        <f t="shared" si="68"/>
        <v>4.4194548293395924E-3</v>
      </c>
      <c r="F231" s="4">
        <v>1</v>
      </c>
    </row>
    <row r="232" spans="4:6">
      <c r="D232" s="5">
        <f t="shared" si="67"/>
        <v>2199</v>
      </c>
      <c r="E232" s="4">
        <f t="shared" si="68"/>
        <v>4.2868711844594046E-3</v>
      </c>
      <c r="F232" s="4">
        <v>1</v>
      </c>
    </row>
    <row r="233" spans="4:6">
      <c r="D233" s="5">
        <f t="shared" si="67"/>
        <v>2200</v>
      </c>
      <c r="E233" s="4">
        <f t="shared" si="68"/>
        <v>4.1582650489256226E-3</v>
      </c>
      <c r="F233" s="4">
        <v>1</v>
      </c>
    </row>
    <row r="234" spans="4:6">
      <c r="D234" s="5">
        <f t="shared" si="67"/>
        <v>2201</v>
      </c>
      <c r="E234" s="4">
        <f t="shared" si="68"/>
        <v>4.0335170974578538E-3</v>
      </c>
      <c r="F234" s="4">
        <v>1</v>
      </c>
    </row>
    <row r="235" spans="4:6">
      <c r="D235" s="5">
        <f t="shared" si="67"/>
        <v>2202</v>
      </c>
      <c r="E235" s="4">
        <f t="shared" si="68"/>
        <v>3.9125115845341178E-3</v>
      </c>
      <c r="F235" s="4">
        <v>1</v>
      </c>
    </row>
    <row r="236" spans="4:6">
      <c r="D236" s="5">
        <f t="shared" si="67"/>
        <v>2203</v>
      </c>
      <c r="E236" s="4">
        <f t="shared" si="68"/>
        <v>3.7951362369980941E-3</v>
      </c>
      <c r="F236" s="4">
        <v>1</v>
      </c>
    </row>
    <row r="237" spans="4:6">
      <c r="D237" s="5">
        <f t="shared" si="67"/>
        <v>2204</v>
      </c>
      <c r="E237" s="4">
        <f t="shared" si="68"/>
        <v>3.6812821498881511E-3</v>
      </c>
      <c r="F237" s="4">
        <v>1</v>
      </c>
    </row>
    <row r="238" spans="4:6">
      <c r="D238" s="5">
        <f t="shared" si="67"/>
        <v>2205</v>
      </c>
      <c r="E238" s="4">
        <f t="shared" si="68"/>
        <v>3.5708436853915063E-3</v>
      </c>
      <c r="F238" s="4">
        <v>1</v>
      </c>
    </row>
    <row r="239" spans="4:6">
      <c r="D239" s="5">
        <f t="shared" si="67"/>
        <v>2206</v>
      </c>
      <c r="E239" s="4">
        <f t="shared" si="68"/>
        <v>3.4637183748297612E-3</v>
      </c>
      <c r="F239" s="4">
        <v>1</v>
      </c>
    </row>
    <row r="240" spans="4:6">
      <c r="D240" s="5">
        <f t="shared" si="67"/>
        <v>2207</v>
      </c>
      <c r="E240" s="4">
        <f t="shared" si="68"/>
        <v>3.3598068235848682E-3</v>
      </c>
      <c r="F240" s="4">
        <v>1</v>
      </c>
    </row>
    <row r="241" spans="4:6">
      <c r="D241" s="5">
        <f t="shared" si="67"/>
        <v>2208</v>
      </c>
      <c r="E241" s="4">
        <f t="shared" si="68"/>
        <v>3.2590126188773222E-3</v>
      </c>
      <c r="F241" s="4">
        <v>1</v>
      </c>
    </row>
    <row r="242" spans="4:6">
      <c r="D242" s="5">
        <f t="shared" si="67"/>
        <v>2209</v>
      </c>
      <c r="E242" s="4">
        <f t="shared" si="68"/>
        <v>3.1612422403110023E-3</v>
      </c>
      <c r="F242" s="4">
        <v>1</v>
      </c>
    </row>
    <row r="243" spans="4:6">
      <c r="D243" s="5">
        <f t="shared" si="67"/>
        <v>2210</v>
      </c>
      <c r="E243" s="4">
        <f t="shared" si="68"/>
        <v>3.0664049731016722E-3</v>
      </c>
      <c r="F243" s="4">
        <v>1</v>
      </c>
    </row>
    <row r="244" spans="4:6">
      <c r="D244" s="5">
        <f t="shared" si="67"/>
        <v>2211</v>
      </c>
      <c r="E244" s="4">
        <f t="shared" si="68"/>
        <v>2.9744128239086219E-3</v>
      </c>
      <c r="F244" s="4">
        <v>1</v>
      </c>
    </row>
    <row r="245" spans="4:6">
      <c r="D245" s="5">
        <f t="shared" si="67"/>
        <v>2212</v>
      </c>
      <c r="E245" s="4">
        <f t="shared" si="68"/>
        <v>2.8851804391913632E-3</v>
      </c>
      <c r="F245" s="4">
        <v>1</v>
      </c>
    </row>
    <row r="246" spans="4:6">
      <c r="D246" s="5">
        <f t="shared" si="67"/>
        <v>2213</v>
      </c>
      <c r="E246" s="4">
        <f t="shared" si="68"/>
        <v>2.7986250260156223E-3</v>
      </c>
      <c r="F246" s="4">
        <v>1</v>
      </c>
    </row>
    <row r="247" spans="4:6">
      <c r="D247" s="5">
        <f t="shared" ref="D247:D299" si="69">D246+1</f>
        <v>2214</v>
      </c>
      <c r="E247" s="4">
        <f t="shared" ref="E247:E299" si="70">E246*(1-$C$53)</f>
        <v>2.7146662752351534E-3</v>
      </c>
      <c r="F247" s="4">
        <v>1</v>
      </c>
    </row>
    <row r="248" spans="4:6">
      <c r="D248" s="5">
        <f t="shared" si="69"/>
        <v>2215</v>
      </c>
      <c r="E248" s="4">
        <f t="shared" si="70"/>
        <v>2.6332262869780986E-3</v>
      </c>
      <c r="F248" s="4">
        <v>1</v>
      </c>
    </row>
    <row r="249" spans="4:6">
      <c r="D249" s="5">
        <f t="shared" si="69"/>
        <v>2216</v>
      </c>
      <c r="E249" s="4">
        <f t="shared" si="70"/>
        <v>2.5542294983687554E-3</v>
      </c>
      <c r="F249" s="4">
        <v>1</v>
      </c>
    </row>
    <row r="250" spans="4:6">
      <c r="D250" s="5">
        <f t="shared" si="69"/>
        <v>2217</v>
      </c>
      <c r="E250" s="4">
        <f t="shared" si="70"/>
        <v>2.4776026134176927E-3</v>
      </c>
      <c r="F250" s="4">
        <v>1</v>
      </c>
    </row>
    <row r="251" spans="4:6">
      <c r="D251" s="5">
        <f t="shared" si="69"/>
        <v>2218</v>
      </c>
      <c r="E251" s="4">
        <f t="shared" si="70"/>
        <v>2.4032745350151619E-3</v>
      </c>
      <c r="F251" s="4">
        <v>1</v>
      </c>
    </row>
    <row r="252" spans="4:6">
      <c r="D252" s="5">
        <f t="shared" si="69"/>
        <v>2219</v>
      </c>
      <c r="E252" s="4">
        <f t="shared" si="70"/>
        <v>2.3311762989647071E-3</v>
      </c>
      <c r="F252" s="4">
        <v>1</v>
      </c>
    </row>
    <row r="253" spans="4:6">
      <c r="D253" s="5">
        <f t="shared" si="69"/>
        <v>2220</v>
      </c>
      <c r="E253" s="4">
        <f t="shared" si="70"/>
        <v>2.2612410099957657E-3</v>
      </c>
      <c r="F253" s="4">
        <v>1</v>
      </c>
    </row>
    <row r="254" spans="4:6">
      <c r="D254" s="5">
        <f t="shared" si="69"/>
        <v>2221</v>
      </c>
      <c r="E254" s="4">
        <f t="shared" si="70"/>
        <v>2.1934037796958925E-3</v>
      </c>
      <c r="F254" s="4">
        <v>1</v>
      </c>
    </row>
    <row r="255" spans="4:6">
      <c r="D255" s="5">
        <f t="shared" si="69"/>
        <v>2222</v>
      </c>
      <c r="E255" s="4">
        <f t="shared" si="70"/>
        <v>2.1276016663050157E-3</v>
      </c>
      <c r="F255" s="4">
        <v>1</v>
      </c>
    </row>
    <row r="256" spans="4:6">
      <c r="D256" s="5">
        <f t="shared" si="69"/>
        <v>2223</v>
      </c>
      <c r="E256" s="4">
        <f t="shared" si="70"/>
        <v>2.0637736163158652E-3</v>
      </c>
      <c r="F256" s="4">
        <v>1</v>
      </c>
    </row>
    <row r="257" spans="4:6">
      <c r="D257" s="5">
        <f t="shared" si="69"/>
        <v>2224</v>
      </c>
      <c r="E257" s="4">
        <f t="shared" si="70"/>
        <v>2.0018604078263893E-3</v>
      </c>
      <c r="F257" s="4">
        <v>1</v>
      </c>
    </row>
    <row r="258" spans="4:6">
      <c r="D258" s="5">
        <f t="shared" si="69"/>
        <v>2225</v>
      </c>
      <c r="E258" s="4">
        <f t="shared" si="70"/>
        <v>1.9418045955915976E-3</v>
      </c>
      <c r="F258" s="4">
        <v>1</v>
      </c>
    </row>
    <row r="259" spans="4:6">
      <c r="D259" s="5">
        <f t="shared" si="69"/>
        <v>2226</v>
      </c>
      <c r="E259" s="4">
        <f t="shared" si="70"/>
        <v>1.8835504577238496E-3</v>
      </c>
      <c r="F259" s="4">
        <v>1</v>
      </c>
    </row>
    <row r="260" spans="4:6">
      <c r="D260" s="5">
        <f t="shared" si="69"/>
        <v>2227</v>
      </c>
      <c r="E260" s="4">
        <f t="shared" si="70"/>
        <v>1.827043943992134E-3</v>
      </c>
      <c r="F260" s="4">
        <v>1</v>
      </c>
    </row>
    <row r="261" spans="4:6">
      <c r="D261" s="5">
        <f t="shared" si="69"/>
        <v>2228</v>
      </c>
      <c r="E261" s="4">
        <f t="shared" si="70"/>
        <v>1.7722326256723699E-3</v>
      </c>
      <c r="F261" s="4">
        <v>1</v>
      </c>
    </row>
    <row r="262" spans="4:6">
      <c r="D262" s="5">
        <f t="shared" si="69"/>
        <v>2229</v>
      </c>
      <c r="E262" s="4">
        <f t="shared" si="70"/>
        <v>1.7190656469021988E-3</v>
      </c>
      <c r="F262" s="4">
        <v>1</v>
      </c>
    </row>
    <row r="263" spans="4:6">
      <c r="D263" s="5">
        <f t="shared" si="69"/>
        <v>2230</v>
      </c>
      <c r="E263" s="4">
        <f t="shared" si="70"/>
        <v>1.6674936774951328E-3</v>
      </c>
      <c r="F263" s="4">
        <v>1</v>
      </c>
    </row>
    <row r="264" spans="4:6">
      <c r="D264" s="5">
        <f t="shared" si="69"/>
        <v>2231</v>
      </c>
      <c r="E264" s="4">
        <f t="shared" si="70"/>
        <v>1.6174688671702789E-3</v>
      </c>
      <c r="F264" s="4">
        <v>1</v>
      </c>
    </row>
    <row r="265" spans="4:6">
      <c r="D265" s="5">
        <f t="shared" si="69"/>
        <v>2232</v>
      </c>
      <c r="E265" s="4">
        <f t="shared" si="70"/>
        <v>1.5689448011551705E-3</v>
      </c>
      <c r="F265" s="4">
        <v>1</v>
      </c>
    </row>
    <row r="266" spans="4:6">
      <c r="D266" s="5">
        <f t="shared" si="69"/>
        <v>2233</v>
      </c>
      <c r="E266" s="4">
        <f t="shared" si="70"/>
        <v>1.5218764571205154E-3</v>
      </c>
      <c r="F266" s="4">
        <v>1</v>
      </c>
    </row>
    <row r="267" spans="4:6">
      <c r="D267" s="5">
        <f t="shared" si="69"/>
        <v>2234</v>
      </c>
      <c r="E267" s="4">
        <f t="shared" si="70"/>
        <v>1.4762201634068999E-3</v>
      </c>
      <c r="F267" s="4">
        <v>1</v>
      </c>
    </row>
    <row r="268" spans="4:6">
      <c r="D268" s="5">
        <f t="shared" si="69"/>
        <v>2235</v>
      </c>
      <c r="E268" s="4">
        <f t="shared" si="70"/>
        <v>1.4319335585046928E-3</v>
      </c>
      <c r="F268" s="4">
        <v>1</v>
      </c>
    </row>
    <row r="269" spans="4:6">
      <c r="D269" s="5">
        <f t="shared" si="69"/>
        <v>2236</v>
      </c>
      <c r="E269" s="4">
        <f t="shared" si="70"/>
        <v>1.3889755517495521E-3</v>
      </c>
      <c r="F269" s="4">
        <v>1</v>
      </c>
    </row>
    <row r="270" spans="4:6">
      <c r="D270" s="5">
        <f t="shared" si="69"/>
        <v>2237</v>
      </c>
      <c r="E270" s="4">
        <f t="shared" si="70"/>
        <v>1.3473062851970656E-3</v>
      </c>
      <c r="F270" s="4">
        <v>1</v>
      </c>
    </row>
    <row r="271" spans="4:6">
      <c r="D271" s="5">
        <f t="shared" si="69"/>
        <v>2238</v>
      </c>
      <c r="E271" s="4">
        <f t="shared" si="70"/>
        <v>1.3068870966411535E-3</v>
      </c>
      <c r="F271" s="4">
        <v>1</v>
      </c>
    </row>
    <row r="272" spans="4:6">
      <c r="D272" s="5">
        <f t="shared" si="69"/>
        <v>2239</v>
      </c>
      <c r="E272" s="4">
        <f t="shared" si="70"/>
        <v>1.2676804837419189E-3</v>
      </c>
      <c r="F272" s="4">
        <v>1</v>
      </c>
    </row>
    <row r="273" spans="4:6">
      <c r="D273" s="5">
        <f t="shared" si="69"/>
        <v>2240</v>
      </c>
      <c r="E273" s="4">
        <f t="shared" si="70"/>
        <v>1.2296500692296614E-3</v>
      </c>
      <c r="F273" s="4">
        <v>1</v>
      </c>
    </row>
    <row r="274" spans="4:6">
      <c r="D274" s="5">
        <f t="shared" si="69"/>
        <v>2241</v>
      </c>
      <c r="E274" s="4">
        <f t="shared" si="70"/>
        <v>1.1927605671527715E-3</v>
      </c>
      <c r="F274" s="4">
        <v>1</v>
      </c>
    </row>
    <row r="275" spans="4:6">
      <c r="D275" s="5">
        <f t="shared" si="69"/>
        <v>2242</v>
      </c>
      <c r="E275" s="4">
        <f t="shared" si="70"/>
        <v>1.1569777501381883E-3</v>
      </c>
      <c r="F275" s="4">
        <v>1</v>
      </c>
    </row>
    <row r="276" spans="4:6">
      <c r="D276" s="5">
        <f t="shared" si="69"/>
        <v>2243</v>
      </c>
      <c r="E276" s="4">
        <f t="shared" si="70"/>
        <v>1.1222684176340426E-3</v>
      </c>
      <c r="F276" s="4">
        <v>1</v>
      </c>
    </row>
    <row r="277" spans="4:6">
      <c r="D277" s="5">
        <f t="shared" si="69"/>
        <v>2244</v>
      </c>
      <c r="E277" s="4">
        <f t="shared" si="70"/>
        <v>1.0886003651050214E-3</v>
      </c>
      <c r="F277" s="4">
        <v>1</v>
      </c>
    </row>
    <row r="278" spans="4:6">
      <c r="D278" s="5">
        <f t="shared" si="69"/>
        <v>2245</v>
      </c>
      <c r="E278" s="4">
        <f t="shared" si="70"/>
        <v>1.0559423541518708E-3</v>
      </c>
      <c r="F278" s="4">
        <v>1</v>
      </c>
    </row>
    <row r="279" spans="4:6">
      <c r="D279" s="5">
        <f t="shared" si="69"/>
        <v>2246</v>
      </c>
      <c r="E279" s="4">
        <f t="shared" si="70"/>
        <v>1.0242640835273146E-3</v>
      </c>
      <c r="F279" s="4">
        <v>1</v>
      </c>
    </row>
    <row r="280" spans="4:6">
      <c r="D280" s="5">
        <f t="shared" si="69"/>
        <v>2247</v>
      </c>
      <c r="E280" s="4">
        <f t="shared" si="70"/>
        <v>9.9353616102149512E-4</v>
      </c>
      <c r="F280" s="4">
        <v>1</v>
      </c>
    </row>
    <row r="281" spans="4:6">
      <c r="D281" s="5">
        <f t="shared" si="69"/>
        <v>2248</v>
      </c>
      <c r="E281" s="4">
        <f t="shared" si="70"/>
        <v>9.6373007619085028E-4</v>
      </c>
      <c r="F281" s="4">
        <v>1</v>
      </c>
    </row>
    <row r="282" spans="4:6">
      <c r="D282" s="5">
        <f t="shared" si="69"/>
        <v>2249</v>
      </c>
      <c r="E282" s="4">
        <f t="shared" si="70"/>
        <v>9.348181739051247E-4</v>
      </c>
      <c r="F282" s="4">
        <v>1</v>
      </c>
    </row>
    <row r="283" spans="4:6">
      <c r="D283" s="5">
        <f t="shared" si="69"/>
        <v>2250</v>
      </c>
      <c r="E283" s="4">
        <f t="shared" si="70"/>
        <v>9.0677362868797097E-4</v>
      </c>
      <c r="F283" s="4">
        <v>1</v>
      </c>
    </row>
    <row r="284" spans="4:6">
      <c r="D284" s="5">
        <f t="shared" si="69"/>
        <v>2251</v>
      </c>
      <c r="E284" s="4">
        <f t="shared" si="70"/>
        <v>8.7957041982733184E-4</v>
      </c>
      <c r="F284" s="4">
        <v>1</v>
      </c>
    </row>
    <row r="285" spans="4:6">
      <c r="D285" s="5">
        <f t="shared" si="69"/>
        <v>2252</v>
      </c>
      <c r="E285" s="4">
        <f t="shared" si="70"/>
        <v>8.5318330723251187E-4</v>
      </c>
      <c r="F285" s="4">
        <v>1</v>
      </c>
    </row>
    <row r="286" spans="4:6">
      <c r="D286" s="5">
        <f t="shared" si="69"/>
        <v>2253</v>
      </c>
      <c r="E286" s="4">
        <f t="shared" si="70"/>
        <v>8.275878080155365E-4</v>
      </c>
      <c r="F286" s="4">
        <v>1</v>
      </c>
    </row>
    <row r="287" spans="4:6">
      <c r="D287" s="5">
        <f t="shared" si="69"/>
        <v>2254</v>
      </c>
      <c r="E287" s="4">
        <f t="shared" si="70"/>
        <v>8.0276017377507042E-4</v>
      </c>
      <c r="F287" s="4">
        <v>1</v>
      </c>
    </row>
    <row r="288" spans="4:6">
      <c r="D288" s="5">
        <f t="shared" si="69"/>
        <v>2255</v>
      </c>
      <c r="E288" s="4">
        <f t="shared" si="70"/>
        <v>7.786773685618183E-4</v>
      </c>
      <c r="F288" s="4">
        <v>1</v>
      </c>
    </row>
    <row r="289" spans="4:6">
      <c r="D289" s="5">
        <f t="shared" si="69"/>
        <v>2256</v>
      </c>
      <c r="E289" s="4">
        <f t="shared" si="70"/>
        <v>7.5531704750496375E-4</v>
      </c>
      <c r="F289" s="4">
        <v>1</v>
      </c>
    </row>
    <row r="290" spans="4:6">
      <c r="D290" s="5">
        <f t="shared" si="69"/>
        <v>2257</v>
      </c>
      <c r="E290" s="4">
        <f t="shared" si="70"/>
        <v>7.3265753607981482E-4</v>
      </c>
      <c r="F290" s="4">
        <v>1</v>
      </c>
    </row>
    <row r="291" spans="4:6">
      <c r="D291" s="5">
        <f t="shared" si="69"/>
        <v>2258</v>
      </c>
      <c r="E291" s="4">
        <f t="shared" si="70"/>
        <v>7.1067780999742032E-4</v>
      </c>
      <c r="F291" s="4">
        <v>1</v>
      </c>
    </row>
    <row r="292" spans="4:6">
      <c r="D292" s="5">
        <f t="shared" si="69"/>
        <v>2259</v>
      </c>
      <c r="E292" s="4">
        <f t="shared" si="70"/>
        <v>6.893574756974977E-4</v>
      </c>
      <c r="F292" s="4">
        <v>1</v>
      </c>
    </row>
    <row r="293" spans="4:6">
      <c r="D293" s="5">
        <f t="shared" si="69"/>
        <v>2260</v>
      </c>
      <c r="E293" s="4">
        <f t="shared" si="70"/>
        <v>6.6867675142657276E-4</v>
      </c>
      <c r="F293" s="4">
        <v>1</v>
      </c>
    </row>
    <row r="294" spans="4:6">
      <c r="D294" s="5">
        <f t="shared" si="69"/>
        <v>2261</v>
      </c>
      <c r="E294" s="4">
        <f t="shared" si="70"/>
        <v>6.4861644888377561E-4</v>
      </c>
      <c r="F294" s="4">
        <v>1</v>
      </c>
    </row>
    <row r="295" spans="4:6">
      <c r="D295" s="5">
        <f t="shared" si="69"/>
        <v>2262</v>
      </c>
      <c r="E295" s="4">
        <f t="shared" si="70"/>
        <v>6.2915795541726232E-4</v>
      </c>
      <c r="F295" s="4">
        <v>1</v>
      </c>
    </row>
    <row r="296" spans="4:6">
      <c r="D296" s="5">
        <f t="shared" si="69"/>
        <v>2263</v>
      </c>
      <c r="E296" s="4">
        <f t="shared" si="70"/>
        <v>6.1028321675474445E-4</v>
      </c>
      <c r="F296" s="4">
        <v>1</v>
      </c>
    </row>
    <row r="297" spans="4:6">
      <c r="D297" s="5">
        <f t="shared" si="69"/>
        <v>2264</v>
      </c>
      <c r="E297" s="4">
        <f t="shared" si="70"/>
        <v>5.9197472025210209E-4</v>
      </c>
      <c r="F297" s="4">
        <v>1</v>
      </c>
    </row>
    <row r="298" spans="4:6">
      <c r="D298" s="5">
        <f t="shared" si="69"/>
        <v>2265</v>
      </c>
      <c r="E298" s="4">
        <f t="shared" si="70"/>
        <v>5.7421547864453903E-4</v>
      </c>
      <c r="F298" s="4">
        <v>1</v>
      </c>
    </row>
    <row r="299" spans="4:6">
      <c r="D299" s="5">
        <f t="shared" si="69"/>
        <v>2266</v>
      </c>
      <c r="E299" s="4">
        <f t="shared" si="70"/>
        <v>5.5698901428520283E-4</v>
      </c>
      <c r="F299" s="4">
        <v>1</v>
      </c>
    </row>
  </sheetData>
  <pageMargins left="0.7" right="0.7" top="0.75" bottom="0.75" header="0.3" footer="0.3"/>
  <ignoredErrors>
    <ignoredError xmlns:x16r3="http://schemas.microsoft.com/office/spreadsheetml/2018/08/main" xmlns:x16r5="http://schemas.microsoft.com/office/spreadsheetml/2020/10/main" sqref="B23 V23:BM23 BP23:XFD23" evalError="1" twoDigitTextYear="1" numberStoredAsText="1" formula="1" formulaRange="1" unlockedFormula="1" emptyCellReference="1" listDataValidation="1" calculatedColumn="1" x16r3:misleadingFormat="1" x16r5:outdatedDataTypes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2020-12-25T19:48:25Z</dcterms:created>
  <dcterms:modified xsi:type="dcterms:W3CDTF">2021-01-04T20:06:42Z</dcterms:modified>
  <cp:category/>
  <cp:contentStatus/>
</cp:coreProperties>
</file>